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 firstSheet="1" activeTab="6"/>
  </bookViews>
  <sheets>
    <sheet name="FABBISOGNI" sheetId="1" r:id="rId1"/>
    <sheet name="DIETE" sheetId="2" r:id="rId2"/>
    <sheet name="STIMA ANNUA" sheetId="3" r:id="rId3"/>
    <sheet name="Acquisti &amp; C.deposito" sheetId="4" r:id="rId4"/>
    <sheet name="STORICO MOLITURE" sheetId="61" r:id="rId5"/>
    <sheet name="VALORI NUTRITIVI ALIMENTI" sheetId="64" r:id="rId6"/>
    <sheet name="Razione alimentare suina" sheetId="62" r:id="rId7"/>
  </sheets>
  <calcPr calcId="124519"/>
</workbook>
</file>

<file path=xl/calcChain.xml><?xml version="1.0" encoding="utf-8"?>
<calcChain xmlns="http://schemas.openxmlformats.org/spreadsheetml/2006/main">
  <c r="K11" i="62"/>
  <c r="K12"/>
  <c r="K13"/>
  <c r="K14"/>
  <c r="K15"/>
  <c r="K10"/>
  <c r="O12" i="64"/>
  <c r="Q12" s="1"/>
  <c r="L12"/>
  <c r="I12"/>
  <c r="O11"/>
  <c r="Q11" s="1"/>
  <c r="L11"/>
  <c r="I11"/>
  <c r="O10"/>
  <c r="Q10" s="1"/>
  <c r="L10"/>
  <c r="I10"/>
  <c r="O9"/>
  <c r="Q9" s="1"/>
  <c r="L9"/>
  <c r="I9"/>
  <c r="O8"/>
  <c r="Q8" s="1"/>
  <c r="L8"/>
  <c r="I8"/>
  <c r="O7"/>
  <c r="O13" s="1"/>
  <c r="L7"/>
  <c r="L13" s="1"/>
  <c r="I7"/>
  <c r="I13" s="1"/>
  <c r="P43" i="62"/>
  <c r="O41"/>
  <c r="O40"/>
  <c r="O39"/>
  <c r="O38"/>
  <c r="O37"/>
  <c r="E30"/>
  <c r="E31"/>
  <c r="D31"/>
  <c r="E32"/>
  <c r="D32"/>
  <c r="O36"/>
  <c r="J41"/>
  <c r="J37"/>
  <c r="J38"/>
  <c r="J39"/>
  <c r="J40"/>
  <c r="J36"/>
  <c r="L29"/>
  <c r="M29"/>
  <c r="O29"/>
  <c r="L30"/>
  <c r="M30"/>
  <c r="O30"/>
  <c r="L31"/>
  <c r="M31"/>
  <c r="O31"/>
  <c r="L32"/>
  <c r="M32"/>
  <c r="O32"/>
  <c r="L33"/>
  <c r="M33"/>
  <c r="O33"/>
  <c r="O28"/>
  <c r="M28"/>
  <c r="L28"/>
  <c r="D30"/>
  <c r="N28"/>
  <c r="N29"/>
  <c r="N30"/>
  <c r="N31"/>
  <c r="N32"/>
  <c r="N33"/>
  <c r="H20" i="61"/>
  <c r="F14"/>
  <c r="B14"/>
  <c r="O21" i="3"/>
  <c r="E7" i="1"/>
  <c r="R7"/>
  <c r="P6"/>
  <c r="K24"/>
  <c r="K7"/>
  <c r="K30"/>
  <c r="K27"/>
  <c r="C11" i="3"/>
  <c r="C18" s="1"/>
  <c r="D18" s="1"/>
  <c r="E7"/>
  <c r="E6"/>
  <c r="Q1" i="2"/>
  <c r="L1"/>
  <c r="F1"/>
  <c r="B1"/>
  <c r="G56" i="1"/>
  <c r="K21"/>
  <c r="K18"/>
  <c r="K15"/>
  <c r="I7"/>
  <c r="N41" s="1"/>
  <c r="Q6"/>
  <c r="T7"/>
  <c r="Q7" i="64" l="1"/>
  <c r="Q13" s="1"/>
  <c r="L36" i="62"/>
  <c r="T6" i="1"/>
  <c r="S18" i="3"/>
  <c r="G18"/>
  <c r="L18"/>
  <c r="C15"/>
  <c r="D15" s="1"/>
  <c r="C19"/>
  <c r="D19" s="1"/>
  <c r="C16"/>
  <c r="D16" s="1"/>
  <c r="C20"/>
  <c r="D20" s="1"/>
  <c r="C13"/>
  <c r="D13" s="1"/>
  <c r="C17"/>
  <c r="D17" s="1"/>
  <c r="D11"/>
  <c r="C14"/>
  <c r="D14" s="1"/>
  <c r="K33" i="1"/>
  <c r="V21" s="1"/>
  <c r="R6"/>
  <c r="G41"/>
  <c r="M41"/>
  <c r="L41"/>
  <c r="P41"/>
  <c r="I41"/>
  <c r="O41"/>
  <c r="H41"/>
  <c r="M36" i="62" l="1"/>
  <c r="N36"/>
  <c r="C9" i="1"/>
  <c r="F9" s="1"/>
  <c r="C6"/>
  <c r="C18"/>
  <c r="F18" s="1"/>
  <c r="C21"/>
  <c r="F21" s="1"/>
  <c r="C24"/>
  <c r="F24" s="1"/>
  <c r="C27"/>
  <c r="F27" s="1"/>
  <c r="C15"/>
  <c r="C12"/>
  <c r="C30"/>
  <c r="F30" s="1"/>
  <c r="F6"/>
  <c r="G7" s="1"/>
  <c r="L17" i="3"/>
  <c r="S17"/>
  <c r="G17"/>
  <c r="S19"/>
  <c r="G19"/>
  <c r="L19"/>
  <c r="S16"/>
  <c r="G16"/>
  <c r="L16"/>
  <c r="S14"/>
  <c r="G14"/>
  <c r="L14"/>
  <c r="S20"/>
  <c r="G20"/>
  <c r="L20"/>
  <c r="M18"/>
  <c r="N18" s="1"/>
  <c r="L13"/>
  <c r="M13" s="1"/>
  <c r="S13"/>
  <c r="G13"/>
  <c r="S15"/>
  <c r="G15"/>
  <c r="L15"/>
  <c r="Q41" i="1"/>
  <c r="C33" l="1"/>
  <c r="V33" s="1"/>
  <c r="F15"/>
  <c r="O43" s="1"/>
  <c r="O45"/>
  <c r="P45"/>
  <c r="M45"/>
  <c r="N45"/>
  <c r="I45"/>
  <c r="L45"/>
  <c r="G45"/>
  <c r="H45"/>
  <c r="L37"/>
  <c r="G37"/>
  <c r="I37"/>
  <c r="M19" i="3"/>
  <c r="N19" s="1"/>
  <c r="M15"/>
  <c r="N15" s="1"/>
  <c r="S21"/>
  <c r="M20"/>
  <c r="N20" s="1"/>
  <c r="M14"/>
  <c r="N14" s="1"/>
  <c r="M16"/>
  <c r="M17"/>
  <c r="N17" s="1"/>
  <c r="N13"/>
  <c r="G21"/>
  <c r="N16"/>
  <c r="A49" i="1"/>
  <c r="O37"/>
  <c r="N37"/>
  <c r="M37"/>
  <c r="H37"/>
  <c r="G39"/>
  <c r="P37"/>
  <c r="M39"/>
  <c r="H39"/>
  <c r="I39"/>
  <c r="O39"/>
  <c r="N39"/>
  <c r="L39"/>
  <c r="P39"/>
  <c r="L43" l="1"/>
  <c r="M43"/>
  <c r="G43"/>
  <c r="N43"/>
  <c r="P43"/>
  <c r="H43"/>
  <c r="I43"/>
  <c r="Q45"/>
  <c r="U33"/>
  <c r="E49" s="1"/>
  <c r="N21" i="3"/>
  <c r="B58" i="1"/>
  <c r="C58" s="1"/>
  <c r="B59"/>
  <c r="C59" s="1"/>
  <c r="B56"/>
  <c r="C56" s="1"/>
  <c r="M56" s="1"/>
  <c r="B57"/>
  <c r="C57" s="1"/>
  <c r="B54"/>
  <c r="C54" s="1"/>
  <c r="B55"/>
  <c r="C55" s="1"/>
  <c r="B52"/>
  <c r="C52" s="1"/>
  <c r="B53"/>
  <c r="C53" s="1"/>
  <c r="Q37"/>
  <c r="Q39"/>
  <c r="Q43" l="1"/>
  <c r="F57"/>
  <c r="G57" s="1"/>
  <c r="M57" s="1"/>
  <c r="I49"/>
  <c r="F52"/>
  <c r="G52" s="1"/>
  <c r="M52" s="1"/>
  <c r="F54"/>
  <c r="G54" s="1"/>
  <c r="M54" s="1"/>
  <c r="F53"/>
  <c r="G53" s="1"/>
  <c r="M53" s="1"/>
  <c r="F55"/>
  <c r="G55" s="1"/>
  <c r="M55" s="1"/>
  <c r="F58"/>
  <c r="G58" s="1"/>
  <c r="M58" s="1"/>
  <c r="F59"/>
  <c r="G59" s="1"/>
  <c r="M59" s="1"/>
  <c r="L39" i="62"/>
  <c r="L41"/>
  <c r="L37"/>
  <c r="O43"/>
  <c r="L38"/>
  <c r="L40"/>
  <c r="N39" l="1"/>
  <c r="M39"/>
  <c r="N40"/>
  <c r="M40"/>
  <c r="M41"/>
  <c r="N41"/>
  <c r="M38"/>
  <c r="N38"/>
  <c r="M37"/>
  <c r="N37"/>
  <c r="L43"/>
  <c r="M43" l="1"/>
  <c r="N43"/>
</calcChain>
</file>

<file path=xl/sharedStrings.xml><?xml version="1.0" encoding="utf-8"?>
<sst xmlns="http://schemas.openxmlformats.org/spreadsheetml/2006/main" count="279" uniqueCount="165">
  <si>
    <t>FABBISOGNI NUTRITIVI COMPLESSIVI DELL'ALLEVAMENTO</t>
  </si>
  <si>
    <t>N° nati</t>
  </si>
  <si>
    <t>N° Scrofe</t>
  </si>
  <si>
    <t>Peppa</t>
  </si>
  <si>
    <t>Giovanna</t>
  </si>
  <si>
    <t>Nome scrofa</t>
  </si>
  <si>
    <t>Oggi</t>
  </si>
  <si>
    <t>Parto</t>
  </si>
  <si>
    <t>Età (gg)</t>
  </si>
  <si>
    <t>Orzo</t>
  </si>
  <si>
    <t>In allattamento</t>
  </si>
  <si>
    <t>In asciutta</t>
  </si>
  <si>
    <t>in gestazione</t>
  </si>
  <si>
    <t>Dieta suinetti</t>
  </si>
  <si>
    <t>Mais</t>
  </si>
  <si>
    <t>Favino</t>
  </si>
  <si>
    <t>Grano</t>
  </si>
  <si>
    <t>Patata prot.</t>
  </si>
  <si>
    <t>Crusca</t>
  </si>
  <si>
    <t>Erba Medica</t>
  </si>
  <si>
    <t>Dieta Suini Ingrasso</t>
  </si>
  <si>
    <t>Girasole</t>
  </si>
  <si>
    <t>Scrofa In Gestazione</t>
  </si>
  <si>
    <t>Scrofa in lattazione</t>
  </si>
  <si>
    <t>Kg</t>
  </si>
  <si>
    <t>kg Man</t>
  </si>
  <si>
    <t>Kg Man</t>
  </si>
  <si>
    <t>N°</t>
  </si>
  <si>
    <t>N° Tot</t>
  </si>
  <si>
    <t>Kg/week</t>
  </si>
  <si>
    <t>Patata prot</t>
  </si>
  <si>
    <t>N°capi</t>
  </si>
  <si>
    <t>Fabbisogno per scrofe in lattazione</t>
  </si>
  <si>
    <t>Fabbisogno per scrofe in gestazione</t>
  </si>
  <si>
    <t>N°Suinetti 15-30gg</t>
  </si>
  <si>
    <t>N°Suinetti 0-15gg</t>
  </si>
  <si>
    <t>Latte Colostrale</t>
  </si>
  <si>
    <t>Fabbisogno per suinetti</t>
  </si>
  <si>
    <t>GIORNI</t>
  </si>
  <si>
    <t>Q.tàin Kg</t>
  </si>
  <si>
    <t>in q.</t>
  </si>
  <si>
    <t>TOT</t>
  </si>
  <si>
    <t>Spesa Immagazzinaggio 1°mese</t>
  </si>
  <si>
    <t>Spesa 11 mesi successivi</t>
  </si>
  <si>
    <t>Costo di Produzone</t>
  </si>
  <si>
    <t>COSTI</t>
  </si>
  <si>
    <t>Ingrasso suini</t>
  </si>
  <si>
    <t>Scrofe</t>
  </si>
  <si>
    <t>KG/GG</t>
  </si>
  <si>
    <t>Età</t>
  </si>
  <si>
    <t>Nata</t>
  </si>
  <si>
    <t>N°Scrofette</t>
  </si>
  <si>
    <t>N°Suinetti 30-45gg</t>
  </si>
  <si>
    <t>N°Suinetti 45-60gg</t>
  </si>
  <si>
    <t>N°Suini 60-100gg</t>
  </si>
  <si>
    <t>giugno-dic</t>
  </si>
  <si>
    <t>Gestazione</t>
  </si>
  <si>
    <t>calore</t>
  </si>
  <si>
    <t>4w</t>
  </si>
  <si>
    <t>21gg</t>
  </si>
  <si>
    <t>svezz-calore</t>
  </si>
  <si>
    <t>5gg</t>
  </si>
  <si>
    <t>3m,3w,3gg</t>
  </si>
  <si>
    <t>Ricorda</t>
  </si>
  <si>
    <t>svezzamento</t>
  </si>
  <si>
    <t>CICLI PRODUTTIVI 2016</t>
  </si>
  <si>
    <t>Tot fabbisogno Per Ingrasso</t>
  </si>
  <si>
    <t>tot. Ingrasso 2016</t>
  </si>
  <si>
    <t>Organizzazione Terreni</t>
  </si>
  <si>
    <t>1,5 Ha</t>
  </si>
  <si>
    <t>4 Ha</t>
  </si>
  <si>
    <t>1 Ha</t>
  </si>
  <si>
    <t>1Ha</t>
  </si>
  <si>
    <t>q</t>
  </si>
  <si>
    <t>Ciclo unitario/capo (kg)</t>
  </si>
  <si>
    <t>Fabbisogno Mangime Ingrasso</t>
  </si>
  <si>
    <t xml:space="preserve">Settimanale </t>
  </si>
  <si>
    <t>tot.scrofe 2016</t>
  </si>
  <si>
    <t>Tot fabbisogno Per scrofe</t>
  </si>
  <si>
    <t>euro</t>
  </si>
  <si>
    <t>totalissimo</t>
  </si>
  <si>
    <t>3/4 Ha</t>
  </si>
  <si>
    <t>5??</t>
  </si>
  <si>
    <t>0??</t>
  </si>
  <si>
    <t>KG TOT/gg Mangime</t>
  </si>
  <si>
    <t xml:space="preserve"> Seme grezzo se acquistato</t>
  </si>
  <si>
    <t>N°Suini 100gg-6m</t>
  </si>
  <si>
    <t>N°Suini 6 - 10m</t>
  </si>
  <si>
    <t>gen-ott</t>
  </si>
  <si>
    <t>Ingrasso 10 mesi</t>
  </si>
  <si>
    <t>MEDIA KG MANGIME /CAPO</t>
  </si>
  <si>
    <t>tot/week</t>
  </si>
  <si>
    <t>Granaglie ritirate</t>
  </si>
  <si>
    <t>Granaglie comperate</t>
  </si>
  <si>
    <t>ANNO 2015</t>
  </si>
  <si>
    <t>KG</t>
  </si>
  <si>
    <t>MAIS</t>
  </si>
  <si>
    <t>CRUSCA</t>
  </si>
  <si>
    <t>FAVE</t>
  </si>
  <si>
    <t>GRANO</t>
  </si>
  <si>
    <t>GIRASOLE</t>
  </si>
  <si>
    <t>STIMA ANNUA SPESE PER MAGAZZINO MANGIMI</t>
  </si>
  <si>
    <t>ACQUISTI/RITIRI IN C.DEPOSITO</t>
  </si>
  <si>
    <t>Ritiri</t>
  </si>
  <si>
    <t>Acquisti</t>
  </si>
  <si>
    <t>FAVINO</t>
  </si>
  <si>
    <t>ORZO</t>
  </si>
  <si>
    <t>C/deposito</t>
  </si>
  <si>
    <t>kg</t>
  </si>
  <si>
    <t>Inseminazione</t>
  </si>
  <si>
    <t>Età Nati</t>
  </si>
  <si>
    <t>Ciclo/capo (kg)</t>
  </si>
  <si>
    <t>STIMA CICLO TOTALE</t>
  </si>
  <si>
    <t>-</t>
  </si>
  <si>
    <t>TOTALISSIMO</t>
  </si>
  <si>
    <t>Fabbisogno scrofette</t>
  </si>
  <si>
    <t>CONSUMO ATTUALE</t>
  </si>
  <si>
    <t>QUANTITà MANGIME MOLITA</t>
  </si>
  <si>
    <t>ORZO 30</t>
  </si>
  <si>
    <t>FAVE 20</t>
  </si>
  <si>
    <t>MAIS 30</t>
  </si>
  <si>
    <t>GIRASOLE 8</t>
  </si>
  <si>
    <t>CRUSCA 7</t>
  </si>
  <si>
    <t>GRANO 5</t>
  </si>
  <si>
    <t>KG/UN</t>
  </si>
  <si>
    <t>DOSE (1)</t>
  </si>
  <si>
    <t>N°DOSI</t>
  </si>
  <si>
    <t>KG MAN. MOLITO</t>
  </si>
  <si>
    <t>STIMA DURATA</t>
  </si>
  <si>
    <t>DATA</t>
  </si>
  <si>
    <t xml:space="preserve">SUINI </t>
  </si>
  <si>
    <t>consumo/capo</t>
  </si>
  <si>
    <t>DURATA MANGIME IN GIORNI</t>
  </si>
  <si>
    <t>PG(g)/(kg) tq</t>
  </si>
  <si>
    <t>razione (kg)</t>
  </si>
  <si>
    <t>EDS (MJ)</t>
  </si>
  <si>
    <t>EMS (MJ)</t>
  </si>
  <si>
    <t>Fave</t>
  </si>
  <si>
    <t>Crusca-t</t>
  </si>
  <si>
    <t>DOSE</t>
  </si>
  <si>
    <t xml:space="preserve">PG </t>
  </si>
  <si>
    <t>LISINA %/tq</t>
  </si>
  <si>
    <t>% dose</t>
  </si>
  <si>
    <t>g/dose</t>
  </si>
  <si>
    <t>PG</t>
  </si>
  <si>
    <t>Gr</t>
  </si>
  <si>
    <t>EMS</t>
  </si>
  <si>
    <t>lys</t>
  </si>
  <si>
    <t>COD.</t>
  </si>
  <si>
    <t>LYS</t>
  </si>
  <si>
    <t>min</t>
  </si>
  <si>
    <t>max</t>
  </si>
  <si>
    <t>RANGE</t>
  </si>
  <si>
    <t>%PASTO</t>
  </si>
  <si>
    <t>Elemento</t>
  </si>
  <si>
    <t>Alimento</t>
  </si>
  <si>
    <t>TOT PASTO</t>
  </si>
  <si>
    <t>GR</t>
  </si>
  <si>
    <t>VALORI NUTRITIVI ALIMENTI</t>
  </si>
  <si>
    <t>Pasto ideale</t>
  </si>
  <si>
    <t xml:space="preserve">DIETA SUINI </t>
  </si>
  <si>
    <t>g/g mangime</t>
  </si>
  <si>
    <t>lys g/kg</t>
  </si>
  <si>
    <t>PG g/kg</t>
  </si>
  <si>
    <t>EMS MJ/kg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</si>
</sst>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 Black"/>
      <family val="2"/>
    </font>
    <font>
      <b/>
      <sz val="10"/>
      <color theme="1"/>
      <name val="Arial Black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26"/>
      <color rgb="FFC0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2"/>
      <color theme="1"/>
      <name val="Times New Roman"/>
      <family val="1"/>
    </font>
    <font>
      <b/>
      <i/>
      <u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4" tint="0.59999389629810485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8" fillId="2" borderId="0" applyNumberFormat="0" applyBorder="0" applyAlignment="0" applyProtection="0"/>
    <xf numFmtId="0" fontId="7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7" fillId="8" borderId="0" applyNumberFormat="0" applyBorder="0" applyAlignment="0" applyProtection="0"/>
  </cellStyleXfs>
  <cellXfs count="9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9" fontId="4" fillId="0" borderId="0" xfId="0" applyNumberFormat="1" applyFont="1"/>
    <xf numFmtId="9" fontId="0" fillId="0" borderId="0" xfId="0" applyNumberFormat="1"/>
    <xf numFmtId="0" fontId="10" fillId="0" borderId="0" xfId="0" applyFont="1"/>
    <xf numFmtId="0" fontId="8" fillId="2" borderId="0" xfId="1"/>
    <xf numFmtId="0" fontId="7" fillId="3" borderId="0" xfId="2"/>
    <xf numFmtId="0" fontId="9" fillId="4" borderId="0" xfId="3"/>
    <xf numFmtId="0" fontId="9" fillId="5" borderId="0" xfId="4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12" fillId="0" borderId="0" xfId="0" applyFont="1"/>
    <xf numFmtId="0" fontId="0" fillId="0" borderId="0" xfId="0" applyAlignment="1"/>
    <xf numFmtId="0" fontId="13" fillId="6" borderId="0" xfId="5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3" fillId="0" borderId="1" xfId="0" applyFont="1" applyBorder="1" applyAlignment="1"/>
    <xf numFmtId="0" fontId="0" fillId="0" borderId="3" xfId="0" applyBorder="1"/>
    <xf numFmtId="0" fontId="3" fillId="0" borderId="4" xfId="0" applyFont="1" applyBorder="1" applyAlignment="1"/>
    <xf numFmtId="0" fontId="3" fillId="0" borderId="0" xfId="0" applyFont="1" applyBorder="1" applyAlignment="1"/>
    <xf numFmtId="0" fontId="0" fillId="0" borderId="5" xfId="0" applyBorder="1"/>
    <xf numFmtId="0" fontId="3" fillId="0" borderId="4" xfId="0" applyFont="1" applyBorder="1"/>
    <xf numFmtId="0" fontId="3" fillId="0" borderId="0" xfId="0" applyFont="1" applyBorder="1"/>
    <xf numFmtId="0" fontId="3" fillId="0" borderId="6" xfId="0" applyFont="1" applyBorder="1"/>
    <xf numFmtId="0" fontId="0" fillId="0" borderId="8" xfId="0" applyBorder="1"/>
    <xf numFmtId="0" fontId="2" fillId="0" borderId="1" xfId="0" applyFont="1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2" fillId="0" borderId="0" xfId="0" applyFont="1" applyBorder="1"/>
    <xf numFmtId="0" fontId="3" fillId="0" borderId="3" xfId="0" applyFont="1" applyBorder="1" applyAlignment="1"/>
    <xf numFmtId="0" fontId="3" fillId="0" borderId="5" xfId="0" applyFont="1" applyBorder="1" applyAlignment="1"/>
    <xf numFmtId="0" fontId="3" fillId="0" borderId="5" xfId="0" applyFont="1" applyBorder="1"/>
    <xf numFmtId="0" fontId="2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6" fillId="0" borderId="1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2" xfId="0" applyNumberFormat="1" applyBorder="1"/>
    <xf numFmtId="0" fontId="0" fillId="0" borderId="2" xfId="0" applyBorder="1"/>
    <xf numFmtId="0" fontId="0" fillId="0" borderId="5" xfId="0" applyFill="1" applyBorder="1"/>
    <xf numFmtId="0" fontId="6" fillId="0" borderId="1" xfId="0" applyFont="1" applyFill="1" applyBorder="1"/>
    <xf numFmtId="0" fontId="0" fillId="0" borderId="3" xfId="0" applyFill="1" applyBorder="1"/>
    <xf numFmtId="0" fontId="14" fillId="7" borderId="0" xfId="6" applyBorder="1" applyAlignment="1">
      <alignment horizontal="center"/>
    </xf>
    <xf numFmtId="0" fontId="0" fillId="0" borderId="8" xfId="0" applyFill="1" applyBorder="1"/>
    <xf numFmtId="0" fontId="14" fillId="7" borderId="7" xfId="6" applyBorder="1" applyAlignment="1">
      <alignment horizontal="center"/>
    </xf>
    <xf numFmtId="0" fontId="0" fillId="0" borderId="1" xfId="0" applyBorder="1"/>
    <xf numFmtId="0" fontId="0" fillId="0" borderId="3" xfId="0" applyBorder="1" applyAlignment="1"/>
    <xf numFmtId="0" fontId="2" fillId="0" borderId="7" xfId="0" applyFont="1" applyBorder="1"/>
    <xf numFmtId="0" fontId="15" fillId="0" borderId="0" xfId="0" applyFont="1"/>
    <xf numFmtId="0" fontId="16" fillId="0" borderId="0" xfId="0" applyFont="1" applyAlignment="1">
      <alignment horizontal="center"/>
    </xf>
    <xf numFmtId="0" fontId="18" fillId="0" borderId="0" xfId="0" applyFont="1"/>
    <xf numFmtId="0" fontId="16" fillId="0" borderId="0" xfId="0" applyFont="1" applyAlignment="1"/>
    <xf numFmtId="0" fontId="3" fillId="0" borderId="7" xfId="0" applyFont="1" applyBorder="1"/>
    <xf numFmtId="0" fontId="0" fillId="0" borderId="0" xfId="0" applyNumberFormat="1" applyBorder="1"/>
    <xf numFmtId="0" fontId="6" fillId="0" borderId="2" xfId="0" applyFont="1" applyFill="1" applyBorder="1"/>
    <xf numFmtId="0" fontId="0" fillId="0" borderId="12" xfId="0" applyBorder="1" applyAlignment="1">
      <alignment horizontal="right"/>
    </xf>
    <xf numFmtId="14" fontId="8" fillId="2" borderId="0" xfId="1" applyNumberFormat="1"/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0" fontId="0" fillId="0" borderId="0" xfId="0" applyNumberFormat="1"/>
    <xf numFmtId="0" fontId="8" fillId="2" borderId="13" xfId="1" applyBorder="1"/>
    <xf numFmtId="0" fontId="13" fillId="6" borderId="12" xfId="5" applyBorder="1"/>
    <xf numFmtId="0" fontId="19" fillId="0" borderId="0" xfId="0" applyFont="1"/>
    <xf numFmtId="0" fontId="7" fillId="8" borderId="0" xfId="7"/>
    <xf numFmtId="9" fontId="7" fillId="8" borderId="0" xfId="7" applyNumberFormat="1"/>
    <xf numFmtId="0" fontId="20" fillId="2" borderId="14" xfId="1" applyFont="1" applyBorder="1"/>
    <xf numFmtId="9" fontId="20" fillId="8" borderId="0" xfId="7" applyNumberFormat="1" applyFo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</cellXfs>
  <cellStyles count="8">
    <cellStyle name="20% - Colore 2" xfId="2" builtinId="34"/>
    <cellStyle name="40% - Colore 1" xfId="7" builtinId="31"/>
    <cellStyle name="Colore 4" xfId="3" builtinId="41"/>
    <cellStyle name="Colore 6" xfId="4" builtinId="49"/>
    <cellStyle name="Neutrale" xfId="5" builtinId="28"/>
    <cellStyle name="Normale" xfId="0" builtinId="0"/>
    <cellStyle name="Valore non valido" xfId="6" builtinId="27"/>
    <cellStyle name="Valore valido" xfId="1" builtinId="26"/>
  </cellStyles>
  <dxfs count="9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ella3" displayName="Tabella3" ref="F8:K15" totalsRowShown="0">
  <autoFilter ref="F8:K15"/>
  <tableColumns count="6">
    <tableColumn id="1" name="COD."/>
    <tableColumn id="2" name="Elemento"/>
    <tableColumn id="3" name="Gr"/>
    <tableColumn id="4" name="EMS MJ/kg"/>
    <tableColumn id="5" name="PG g/kg"/>
    <tableColumn id="6" name="lys g/kg" dataDxfId="3">
      <calculatedColumnFormula>'VALORI NUTRITIVI ALIMENTI'!N6*H9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67"/>
  <sheetViews>
    <sheetView topLeftCell="A19" workbookViewId="0">
      <selection activeCell="C33" sqref="C33"/>
    </sheetView>
  </sheetViews>
  <sheetFormatPr defaultRowHeight="15"/>
  <cols>
    <col min="1" max="1" width="12.85546875" customWidth="1"/>
    <col min="2" max="2" width="9.5703125" customWidth="1"/>
    <col min="3" max="3" width="11.42578125" customWidth="1"/>
    <col min="4" max="4" width="5.85546875" customWidth="1"/>
    <col min="6" max="6" width="6.85546875" customWidth="1"/>
    <col min="8" max="8" width="7.140625" customWidth="1"/>
    <col min="12" max="12" width="11.140625" customWidth="1"/>
    <col min="13" max="13" width="8.85546875" customWidth="1"/>
    <col min="15" max="15" width="11.7109375" customWidth="1"/>
    <col min="16" max="16" width="12.42578125" customWidth="1"/>
    <col min="17" max="18" width="10.7109375" customWidth="1"/>
    <col min="20" max="20" width="12.42578125" customWidth="1"/>
    <col min="21" max="21" width="13.5703125" customWidth="1"/>
    <col min="22" max="22" width="11.85546875" customWidth="1"/>
    <col min="24" max="24" width="10.7109375" bestFit="1" customWidth="1"/>
  </cols>
  <sheetData>
    <row r="2" spans="1:24" ht="18.75">
      <c r="E2" s="1" t="s">
        <v>0</v>
      </c>
      <c r="X2" s="2"/>
    </row>
    <row r="3" spans="1:24">
      <c r="T3" t="s">
        <v>110</v>
      </c>
    </row>
    <row r="4" spans="1:24">
      <c r="D4" t="s">
        <v>10</v>
      </c>
      <c r="F4" t="s">
        <v>11</v>
      </c>
      <c r="H4" t="s">
        <v>12</v>
      </c>
      <c r="K4" s="60" t="s">
        <v>112</v>
      </c>
      <c r="L4" s="60"/>
      <c r="M4" t="s">
        <v>5</v>
      </c>
      <c r="O4" t="s">
        <v>50</v>
      </c>
      <c r="P4" t="s">
        <v>7</v>
      </c>
      <c r="Q4" t="s">
        <v>6</v>
      </c>
      <c r="R4" t="s">
        <v>49</v>
      </c>
      <c r="S4" t="s">
        <v>1</v>
      </c>
      <c r="T4" t="s">
        <v>8</v>
      </c>
      <c r="U4" t="s">
        <v>1</v>
      </c>
      <c r="V4" t="s">
        <v>109</v>
      </c>
    </row>
    <row r="5" spans="1:24">
      <c r="C5" t="s">
        <v>28</v>
      </c>
      <c r="D5" t="s">
        <v>27</v>
      </c>
      <c r="E5" t="s">
        <v>25</v>
      </c>
      <c r="F5" t="s">
        <v>27</v>
      </c>
      <c r="G5" t="s">
        <v>24</v>
      </c>
      <c r="H5" t="s">
        <v>27</v>
      </c>
      <c r="I5" t="s">
        <v>24</v>
      </c>
      <c r="K5" t="s">
        <v>111</v>
      </c>
    </row>
    <row r="6" spans="1:24">
      <c r="A6" s="4" t="s">
        <v>2</v>
      </c>
      <c r="B6" s="4"/>
      <c r="C6">
        <f ca="1">SUMIFS(N6:N7,T6:T7,"&gt;0")</f>
        <v>0</v>
      </c>
      <c r="E6">
        <v>5.5</v>
      </c>
      <c r="F6">
        <f ca="1">SUMIFS(N6:N7,T6:T7,"&gt;30")</f>
        <v>0</v>
      </c>
      <c r="G6">
        <v>3.1</v>
      </c>
      <c r="H6">
        <v>0</v>
      </c>
      <c r="I6">
        <v>2.5</v>
      </c>
      <c r="M6" t="s">
        <v>3</v>
      </c>
      <c r="N6">
        <v>1</v>
      </c>
      <c r="O6" s="2">
        <v>42154</v>
      </c>
      <c r="P6" s="2">
        <f>DATE(0,4,24) + V6</f>
        <v>42484</v>
      </c>
      <c r="Q6" s="2">
        <f ca="1">NOW()</f>
        <v>42375.03600763889</v>
      </c>
      <c r="R6" s="3">
        <f ca="1">ROUND(Q6-O6,0)</f>
        <v>221</v>
      </c>
      <c r="S6">
        <v>12</v>
      </c>
      <c r="T6" s="3">
        <f ca="1">ROUND(Q6-P6,0)</f>
        <v>-109</v>
      </c>
      <c r="V6" s="2">
        <v>42369</v>
      </c>
    </row>
    <row r="7" spans="1:24">
      <c r="E7" s="15">
        <f>E6*D6</f>
        <v>0</v>
      </c>
      <c r="G7" s="12">
        <f ca="1">F6*G6</f>
        <v>0</v>
      </c>
      <c r="I7" s="13">
        <f>H6*I6</f>
        <v>0</v>
      </c>
      <c r="K7" s="49">
        <f>E6*365</f>
        <v>2007.5</v>
      </c>
      <c r="M7" t="s">
        <v>4</v>
      </c>
      <c r="N7">
        <v>1</v>
      </c>
      <c r="O7" s="2"/>
      <c r="P7" s="2"/>
      <c r="Q7" s="2"/>
      <c r="R7" s="3">
        <f>ROUND(Q7-O7,0)</f>
        <v>0</v>
      </c>
      <c r="T7" s="3">
        <f>ROUND(Q7-P7,0)</f>
        <v>0</v>
      </c>
    </row>
    <row r="8" spans="1:24">
      <c r="O8" s="2"/>
      <c r="P8" s="2"/>
      <c r="Q8" s="2"/>
      <c r="R8" s="3"/>
      <c r="T8" s="3"/>
    </row>
    <row r="9" spans="1:24">
      <c r="A9" s="4" t="s">
        <v>51</v>
      </c>
      <c r="C9">
        <f ca="1">SUMIFS(N6:N7,T6:T7,"&lt;1")</f>
        <v>2</v>
      </c>
      <c r="E9">
        <v>2.5</v>
      </c>
      <c r="F9" s="20">
        <f ca="1">E9*C9</f>
        <v>5</v>
      </c>
      <c r="K9" s="67" t="s">
        <v>113</v>
      </c>
      <c r="O9" s="2"/>
      <c r="P9" s="2"/>
      <c r="Q9" s="2"/>
      <c r="R9" s="3"/>
      <c r="T9" s="3"/>
    </row>
    <row r="10" spans="1:24">
      <c r="A10" s="4"/>
      <c r="K10" s="65"/>
      <c r="O10" s="2"/>
      <c r="P10" s="2"/>
      <c r="Q10" s="2"/>
      <c r="R10" s="3"/>
      <c r="T10" s="3"/>
    </row>
    <row r="11" spans="1:24">
      <c r="P11" s="2"/>
      <c r="Q11" s="2"/>
      <c r="R11" s="2"/>
      <c r="T11" s="3"/>
    </row>
    <row r="12" spans="1:24">
      <c r="A12" s="4" t="s">
        <v>35</v>
      </c>
      <c r="B12" s="4"/>
      <c r="C12">
        <f ca="1">SUMIFS(S6:S7,T6:T7,"&lt;15",T6:T7,"&gt;0")</f>
        <v>0</v>
      </c>
      <c r="E12" t="s">
        <v>36</v>
      </c>
      <c r="P12" s="2"/>
      <c r="Q12" s="2"/>
      <c r="R12" s="2"/>
      <c r="T12" s="3"/>
    </row>
    <row r="13" spans="1:24">
      <c r="P13" s="2"/>
      <c r="Q13" s="2"/>
      <c r="R13" s="2"/>
      <c r="T13" s="3"/>
    </row>
    <row r="14" spans="1:24">
      <c r="E14" t="s">
        <v>26</v>
      </c>
      <c r="F14" t="s">
        <v>29</v>
      </c>
      <c r="K14" t="s">
        <v>74</v>
      </c>
      <c r="P14" s="2"/>
      <c r="Q14" s="2"/>
      <c r="R14" s="2"/>
      <c r="T14" s="3"/>
    </row>
    <row r="15" spans="1:24">
      <c r="A15" s="4" t="s">
        <v>34</v>
      </c>
      <c r="B15" s="4"/>
      <c r="C15">
        <f ca="1">SUMIFS(S6:S7,T6:T7,"&lt;30",T6:T7,"&gt;14")</f>
        <v>0</v>
      </c>
      <c r="E15">
        <v>1.7</v>
      </c>
      <c r="F15" s="14">
        <f ca="1">E15*C15*7</f>
        <v>0</v>
      </c>
      <c r="J15" s="35"/>
      <c r="K15" s="41">
        <f>E15*15</f>
        <v>25.5</v>
      </c>
      <c r="P15" s="2"/>
      <c r="Q15" s="2"/>
      <c r="R15" s="2"/>
      <c r="T15" s="3"/>
    </row>
    <row r="16" spans="1:24">
      <c r="J16" s="35"/>
      <c r="K16" s="42"/>
    </row>
    <row r="17" spans="1:22">
      <c r="J17" s="35"/>
      <c r="K17" s="42"/>
    </row>
    <row r="18" spans="1:22">
      <c r="A18" s="4" t="s">
        <v>52</v>
      </c>
      <c r="B18" s="4"/>
      <c r="C18">
        <f ca="1">SUMIFS(S6:S7,T6:T7,"&lt;45",T6:T7,"&gt;29")</f>
        <v>0</v>
      </c>
      <c r="E18">
        <v>2</v>
      </c>
      <c r="F18" s="12">
        <f ca="1">E18*C18*7</f>
        <v>0</v>
      </c>
      <c r="J18" s="35"/>
      <c r="K18" s="42">
        <f>E18*15</f>
        <v>30</v>
      </c>
    </row>
    <row r="19" spans="1:22">
      <c r="J19" s="35"/>
      <c r="K19" s="42"/>
    </row>
    <row r="20" spans="1:22">
      <c r="J20" s="35"/>
      <c r="K20" s="42"/>
    </row>
    <row r="21" spans="1:22">
      <c r="A21" s="4" t="s">
        <v>53</v>
      </c>
      <c r="B21" s="4"/>
      <c r="C21">
        <f ca="1">SUMIFS(S6:S7,T6:T7,"&lt;60",T6:T7,"&gt;44")</f>
        <v>0</v>
      </c>
      <c r="E21">
        <v>2.2999999999999998</v>
      </c>
      <c r="F21" s="12">
        <f ca="1">E21*C21*7</f>
        <v>0</v>
      </c>
      <c r="J21" s="35"/>
      <c r="K21" s="42">
        <f>E21*15</f>
        <v>34.5</v>
      </c>
      <c r="S21" s="60" t="s">
        <v>90</v>
      </c>
      <c r="T21" s="60"/>
      <c r="V21">
        <f>K33/300</f>
        <v>2.74</v>
      </c>
    </row>
    <row r="22" spans="1:22">
      <c r="J22" s="35"/>
      <c r="K22" s="42"/>
    </row>
    <row r="23" spans="1:22">
      <c r="J23" s="35"/>
      <c r="K23" s="42"/>
    </row>
    <row r="24" spans="1:22">
      <c r="A24" s="4" t="s">
        <v>54</v>
      </c>
      <c r="B24" s="4"/>
      <c r="C24">
        <f ca="1">SUMIFS(S6:S7,T6:T7,"&lt;100",T6:T7,"&gt;59")</f>
        <v>0</v>
      </c>
      <c r="E24">
        <v>2.7</v>
      </c>
      <c r="F24" s="12">
        <f ca="1">E24*C24*7</f>
        <v>0</v>
      </c>
      <c r="J24" s="35"/>
      <c r="K24" s="42">
        <f>E24*40</f>
        <v>108</v>
      </c>
    </row>
    <row r="25" spans="1:22">
      <c r="J25" s="35"/>
      <c r="K25" s="42"/>
    </row>
    <row r="26" spans="1:22">
      <c r="E26" t="s">
        <v>26</v>
      </c>
      <c r="F26" t="s">
        <v>29</v>
      </c>
      <c r="J26" s="35"/>
      <c r="K26" s="42"/>
    </row>
    <row r="27" spans="1:22">
      <c r="A27" s="4" t="s">
        <v>86</v>
      </c>
      <c r="B27" s="4"/>
      <c r="C27">
        <f ca="1">SUMIFS(S6:S7,T6:T7,"&lt;120",T6:T7,"&gt;99")</f>
        <v>0</v>
      </c>
      <c r="E27">
        <v>3</v>
      </c>
      <c r="F27" s="12">
        <f ca="1">E27*C27*7</f>
        <v>0</v>
      </c>
      <c r="J27" s="35"/>
      <c r="K27" s="42">
        <f>E27*80</f>
        <v>240</v>
      </c>
      <c r="L27" s="5"/>
    </row>
    <row r="28" spans="1:22">
      <c r="J28" s="35"/>
      <c r="K28" s="42"/>
      <c r="L28" s="5"/>
    </row>
    <row r="29" spans="1:22">
      <c r="E29" t="s">
        <v>26</v>
      </c>
      <c r="F29" t="s">
        <v>29</v>
      </c>
      <c r="J29" s="35"/>
      <c r="K29" s="42"/>
      <c r="L29" s="5"/>
      <c r="R29" s="32" t="s">
        <v>63</v>
      </c>
      <c r="S29" s="24"/>
    </row>
    <row r="30" spans="1:22">
      <c r="A30" s="4" t="s">
        <v>87</v>
      </c>
      <c r="B30" s="4"/>
      <c r="C30">
        <f ca="1">SUMIF(T6:T14,"&gt;119",S6:S14)</f>
        <v>0</v>
      </c>
      <c r="E30">
        <v>3.2</v>
      </c>
      <c r="F30" s="12">
        <f ca="1">E30*7*C30</f>
        <v>0</v>
      </c>
      <c r="J30" s="35"/>
      <c r="K30" s="42">
        <f>E30*120</f>
        <v>384</v>
      </c>
      <c r="L30" s="26"/>
      <c r="M30" s="26"/>
      <c r="R30" s="33" t="s">
        <v>56</v>
      </c>
      <c r="S30" s="27" t="s">
        <v>62</v>
      </c>
      <c r="U30" s="23" t="s">
        <v>65</v>
      </c>
      <c r="V30" s="37"/>
    </row>
    <row r="31" spans="1:22">
      <c r="J31" s="35"/>
      <c r="K31" s="42"/>
      <c r="L31" s="26"/>
      <c r="M31" s="26"/>
      <c r="R31" s="33" t="s">
        <v>57</v>
      </c>
      <c r="S31" s="27" t="s">
        <v>59</v>
      </c>
      <c r="U31" s="25" t="s">
        <v>89</v>
      </c>
      <c r="V31" s="38"/>
    </row>
    <row r="32" spans="1:22">
      <c r="C32" t="s">
        <v>31</v>
      </c>
      <c r="J32" s="35"/>
      <c r="K32" s="42"/>
      <c r="L32" s="29"/>
      <c r="M32" s="29"/>
      <c r="R32" s="33" t="s">
        <v>64</v>
      </c>
      <c r="S32" s="27" t="s">
        <v>58</v>
      </c>
      <c r="U32" s="28" t="s">
        <v>88</v>
      </c>
      <c r="V32" s="39" t="s">
        <v>55</v>
      </c>
    </row>
    <row r="33" spans="1:22" ht="15.75" customHeight="1">
      <c r="A33" s="11"/>
      <c r="C33">
        <f ca="1">C15+C30+C27+C18+C21+C24+C12+C9</f>
        <v>2</v>
      </c>
      <c r="J33" s="35"/>
      <c r="K33" s="43">
        <f>SUM(K15:K30)</f>
        <v>822</v>
      </c>
      <c r="L33" s="29"/>
      <c r="M33" s="36"/>
      <c r="R33" s="34" t="s">
        <v>60</v>
      </c>
      <c r="S33" s="31" t="s">
        <v>61</v>
      </c>
      <c r="U33" s="30">
        <f ca="1">K33*C33</f>
        <v>1644</v>
      </c>
      <c r="V33" s="40">
        <f ca="1">(K33-K30+(E30*30))*C33</f>
        <v>1068</v>
      </c>
    </row>
    <row r="34" spans="1:22">
      <c r="L34" s="5"/>
    </row>
    <row r="35" spans="1:22" ht="26.25">
      <c r="G35" s="70" t="s">
        <v>116</v>
      </c>
      <c r="H35" s="70"/>
      <c r="I35" s="70"/>
      <c r="J35" s="70"/>
      <c r="K35" s="70"/>
      <c r="L35" s="70"/>
      <c r="M35" s="70"/>
      <c r="N35" s="70"/>
    </row>
    <row r="36" spans="1:22" ht="15.75">
      <c r="A36" s="18" t="s">
        <v>76</v>
      </c>
      <c r="G36" s="8" t="s">
        <v>14</v>
      </c>
      <c r="H36" s="8" t="s">
        <v>9</v>
      </c>
      <c r="I36" s="8" t="s">
        <v>15</v>
      </c>
      <c r="J36" s="8"/>
      <c r="K36" s="8"/>
      <c r="L36" s="8" t="s">
        <v>16</v>
      </c>
      <c r="M36" s="8" t="s">
        <v>30</v>
      </c>
      <c r="N36" s="8" t="s">
        <v>18</v>
      </c>
      <c r="O36" s="8" t="s">
        <v>19</v>
      </c>
      <c r="P36" s="8" t="s">
        <v>21</v>
      </c>
      <c r="Q36" s="22" t="s">
        <v>91</v>
      </c>
      <c r="R36" s="21"/>
    </row>
    <row r="37" spans="1:22">
      <c r="A37" s="18" t="s">
        <v>75</v>
      </c>
      <c r="B37" s="18"/>
      <c r="C37" s="18"/>
      <c r="D37" s="18"/>
      <c r="G37">
        <f ca="1">(F27+F30+G7+F24+F21+F18)*DIETE!F2</f>
        <v>0</v>
      </c>
      <c r="H37">
        <f ca="1">(F27+F30+G7+F24+F21+F18)*DIETE!F3</f>
        <v>0</v>
      </c>
      <c r="I37">
        <f ca="1">(F27+F30+G7+F24+F21+F18)*DIETE!F4</f>
        <v>0</v>
      </c>
      <c r="L37">
        <f ca="1">(F27+F30+G7+F24+F21+F18)*DIETE!F5</f>
        <v>0</v>
      </c>
      <c r="M37">
        <f ca="1">(F27+F30+G7+F24+F21+F18)*DIETE!F6</f>
        <v>0</v>
      </c>
      <c r="N37">
        <f ca="1">(F27+F30+G7+F24+F21+F18)*DIETE!F7</f>
        <v>0</v>
      </c>
      <c r="O37">
        <f ca="1">(F27+F30+G7+F24+F21+F18)*DIETE!F8</f>
        <v>0</v>
      </c>
      <c r="P37">
        <f ca="1">(F27+F30+G7+F24+F21+F18)*DIETE!F9</f>
        <v>0</v>
      </c>
      <c r="Q37">
        <f ca="1">SUM(G37:P37)</f>
        <v>0</v>
      </c>
    </row>
    <row r="39" spans="1:22">
      <c r="A39" s="18" t="s">
        <v>32</v>
      </c>
      <c r="B39" s="18"/>
      <c r="C39" s="18"/>
      <c r="G39">
        <f>E7*DIETE!Q2</f>
        <v>0</v>
      </c>
      <c r="H39">
        <f>E7*DIETE!Q3</f>
        <v>0</v>
      </c>
      <c r="I39">
        <f>E7*DIETE!Q4</f>
        <v>0</v>
      </c>
      <c r="L39">
        <f>E7*DIETE!Q5</f>
        <v>0</v>
      </c>
      <c r="M39">
        <f>E7*DIETE!Q6</f>
        <v>0</v>
      </c>
      <c r="N39">
        <f>E7*DIETE!Q7</f>
        <v>0</v>
      </c>
      <c r="O39">
        <f>E7*DIETE!Q8</f>
        <v>0</v>
      </c>
      <c r="P39">
        <f>E7*DIETE!Q9</f>
        <v>0</v>
      </c>
      <c r="Q39">
        <f t="shared" ref="Q39:Q41" si="0">SUM(G39:P39)</f>
        <v>0</v>
      </c>
    </row>
    <row r="41" spans="1:22">
      <c r="A41" s="18" t="s">
        <v>33</v>
      </c>
      <c r="B41" s="18"/>
      <c r="C41" s="18"/>
      <c r="G41">
        <f>I7*DIETE!L2</f>
        <v>0</v>
      </c>
      <c r="H41">
        <f>I7*DIETE!L3</f>
        <v>0</v>
      </c>
      <c r="I41">
        <f>I7*DIETE!L4</f>
        <v>0</v>
      </c>
      <c r="L41">
        <f>I7*DIETE!L5</f>
        <v>0</v>
      </c>
      <c r="M41">
        <f>I7*DIETE!L6</f>
        <v>0</v>
      </c>
      <c r="N41">
        <f>I7*DIETE!L7</f>
        <v>0</v>
      </c>
      <c r="O41">
        <f>I7*DIETE!L8</f>
        <v>0</v>
      </c>
      <c r="P41">
        <f>I7*DIETE!L9</f>
        <v>0</v>
      </c>
      <c r="Q41">
        <f t="shared" si="0"/>
        <v>0</v>
      </c>
    </row>
    <row r="43" spans="1:22">
      <c r="A43" s="18" t="s">
        <v>37</v>
      </c>
      <c r="B43" s="18"/>
      <c r="G43">
        <f ca="1">(F15+F18+F21)*DIETE!B2</f>
        <v>0</v>
      </c>
      <c r="H43">
        <f ca="1">(F15+F18+F21)*DIETE!B3</f>
        <v>0</v>
      </c>
      <c r="I43">
        <f ca="1">(F15+F18+F21)*DIETE!B4</f>
        <v>0</v>
      </c>
      <c r="L43">
        <f ca="1">(F15+F18+F21)*DIETE!B5</f>
        <v>0</v>
      </c>
      <c r="M43">
        <f ca="1">(F15+F18+F21)*DIETE!B6</f>
        <v>0</v>
      </c>
      <c r="N43">
        <f ca="1">(F15+F18+F21)*DIETE!B7</f>
        <v>0</v>
      </c>
      <c r="O43">
        <f ca="1">(F15+F18+F21)*DIETE!B8</f>
        <v>0</v>
      </c>
      <c r="P43">
        <f ca="1">(F15+F18+F21)*DIETE!B9</f>
        <v>0</v>
      </c>
      <c r="Q43">
        <f ca="1">SUM(G43:P43)</f>
        <v>0</v>
      </c>
      <c r="U43" s="35"/>
    </row>
    <row r="45" spans="1:22">
      <c r="A45" s="18" t="s">
        <v>115</v>
      </c>
      <c r="B45" s="18"/>
      <c r="G45">
        <f ca="1">(F9)*DIETE!F2</f>
        <v>1.5</v>
      </c>
      <c r="H45">
        <f ca="1">(F9)*DIETE!F3</f>
        <v>1.5</v>
      </c>
      <c r="I45">
        <f ca="1">(F9)*DIETE!F4</f>
        <v>1</v>
      </c>
      <c r="L45">
        <f ca="1">(F9)*DIETE!F5</f>
        <v>0.25</v>
      </c>
      <c r="M45">
        <f ca="1">(F9)*DIETE!F6</f>
        <v>0</v>
      </c>
      <c r="N45">
        <f ca="1">(F9)*DIETE!F7</f>
        <v>0.35000000000000003</v>
      </c>
      <c r="O45">
        <f ca="1">(F9)*DIETE!F8</f>
        <v>0</v>
      </c>
      <c r="P45">
        <f ca="1">(F9)*DIETE!F9</f>
        <v>0.4</v>
      </c>
      <c r="Q45">
        <f ca="1">SUM(G45:P45)</f>
        <v>5</v>
      </c>
    </row>
    <row r="48" spans="1:22">
      <c r="A48" s="74" t="s">
        <v>78</v>
      </c>
      <c r="B48" s="75"/>
      <c r="C48" s="76"/>
      <c r="E48" s="74" t="s">
        <v>66</v>
      </c>
      <c r="F48" s="75"/>
      <c r="G48" s="76"/>
      <c r="I48" s="74" t="s">
        <v>80</v>
      </c>
      <c r="J48" s="75"/>
      <c r="K48" s="75"/>
      <c r="L48" s="75"/>
      <c r="M48" s="76"/>
    </row>
    <row r="49" spans="1:23">
      <c r="A49" s="71">
        <f ca="1">K7*(C6+C9)</f>
        <v>4015</v>
      </c>
      <c r="B49" s="72"/>
      <c r="C49" s="73"/>
      <c r="E49" s="71">
        <f ca="1">V33+U33</f>
        <v>2712</v>
      </c>
      <c r="F49" s="72"/>
      <c r="G49" s="73"/>
      <c r="I49" s="71">
        <f ca="1">E49+A49</f>
        <v>6727</v>
      </c>
      <c r="J49" s="72"/>
      <c r="K49" s="72"/>
      <c r="L49" s="72"/>
      <c r="M49" s="73"/>
    </row>
    <row r="51" spans="1:23" ht="15.75">
      <c r="A51" s="45" t="s">
        <v>77</v>
      </c>
      <c r="B51" s="46"/>
      <c r="C51" s="47" t="s">
        <v>73</v>
      </c>
      <c r="E51" s="45" t="s">
        <v>67</v>
      </c>
      <c r="F51" s="46"/>
      <c r="G51" s="47" t="s">
        <v>73</v>
      </c>
      <c r="I51" s="52" t="s">
        <v>80</v>
      </c>
      <c r="J51" s="66"/>
      <c r="K51" s="66"/>
      <c r="L51" s="50"/>
      <c r="M51" s="53"/>
      <c r="N51" s="50" t="s">
        <v>68</v>
      </c>
      <c r="O51" s="24"/>
    </row>
    <row r="52" spans="1:23">
      <c r="A52" s="28" t="s">
        <v>14</v>
      </c>
      <c r="B52" s="35">
        <f ca="1">A49*DIETE!F2</f>
        <v>1204.5</v>
      </c>
      <c r="C52" s="27">
        <f t="shared" ref="C52:C59" ca="1" si="1">B52/100</f>
        <v>12.045</v>
      </c>
      <c r="E52" s="28" t="s">
        <v>14</v>
      </c>
      <c r="F52" s="35">
        <f ca="1">E49*DIETE!F2</f>
        <v>813.6</v>
      </c>
      <c r="G52" s="27">
        <f ca="1">F52/100</f>
        <v>8.136000000000001</v>
      </c>
      <c r="I52" s="28" t="s">
        <v>14</v>
      </c>
      <c r="J52" s="29"/>
      <c r="K52" s="29"/>
      <c r="L52" s="35"/>
      <c r="M52" s="51">
        <f t="shared" ref="M52:M59" ca="1" si="2">C52+G52</f>
        <v>20.181000000000001</v>
      </c>
      <c r="N52" s="54" t="s">
        <v>69</v>
      </c>
      <c r="O52" s="27"/>
    </row>
    <row r="53" spans="1:23">
      <c r="A53" s="28" t="s">
        <v>9</v>
      </c>
      <c r="B53" s="35">
        <f ca="1">A49*DIETE!F3</f>
        <v>1204.5</v>
      </c>
      <c r="C53" s="27">
        <f t="shared" ca="1" si="1"/>
        <v>12.045</v>
      </c>
      <c r="E53" s="28" t="s">
        <v>9</v>
      </c>
      <c r="F53" s="35">
        <f ca="1">E49*DIETE!F3</f>
        <v>813.6</v>
      </c>
      <c r="G53" s="27">
        <f ca="1">F53/100</f>
        <v>8.136000000000001</v>
      </c>
      <c r="I53" s="28" t="s">
        <v>9</v>
      </c>
      <c r="J53" s="29"/>
      <c r="K53" s="29"/>
      <c r="L53" s="35"/>
      <c r="M53" s="51">
        <f t="shared" ca="1" si="2"/>
        <v>20.181000000000001</v>
      </c>
      <c r="N53" s="54" t="s">
        <v>81</v>
      </c>
      <c r="O53" s="27" t="s">
        <v>82</v>
      </c>
    </row>
    <row r="54" spans="1:23">
      <c r="A54" s="28" t="s">
        <v>15</v>
      </c>
      <c r="B54" s="35">
        <f ca="1">A49*DIETE!F4</f>
        <v>803</v>
      </c>
      <c r="C54" s="27">
        <f t="shared" ca="1" si="1"/>
        <v>8.0299999999999994</v>
      </c>
      <c r="E54" s="28" t="s">
        <v>15</v>
      </c>
      <c r="F54" s="35">
        <f ca="1">E49*DIETE!F4</f>
        <v>542.4</v>
      </c>
      <c r="G54" s="27">
        <f ca="1">F54/100</f>
        <v>5.4239999999999995</v>
      </c>
      <c r="I54" s="28" t="s">
        <v>15</v>
      </c>
      <c r="J54" s="29"/>
      <c r="K54" s="29"/>
      <c r="L54" s="35"/>
      <c r="M54" s="51">
        <f t="shared" ca="1" si="2"/>
        <v>13.453999999999999</v>
      </c>
      <c r="N54" s="54" t="s">
        <v>70</v>
      </c>
      <c r="O54" s="27"/>
    </row>
    <row r="55" spans="1:23">
      <c r="A55" s="28" t="s">
        <v>16</v>
      </c>
      <c r="B55" s="35">
        <f ca="1">A49*DIETE!F5</f>
        <v>200.75</v>
      </c>
      <c r="C55" s="27">
        <f t="shared" ca="1" si="1"/>
        <v>2.0074999999999998</v>
      </c>
      <c r="E55" s="28" t="s">
        <v>16</v>
      </c>
      <c r="F55" s="35">
        <f ca="1">E49*DIETE!F5</f>
        <v>135.6</v>
      </c>
      <c r="G55" s="27">
        <f ca="1">F55/100</f>
        <v>1.3559999999999999</v>
      </c>
      <c r="I55" s="28" t="s">
        <v>16</v>
      </c>
      <c r="J55" s="29"/>
      <c r="K55" s="29"/>
      <c r="L55" s="35"/>
      <c r="M55" s="51">
        <f t="shared" ca="1" si="2"/>
        <v>3.3634999999999997</v>
      </c>
      <c r="N55" s="54" t="s">
        <v>71</v>
      </c>
      <c r="O55" s="27" t="s">
        <v>83</v>
      </c>
    </row>
    <row r="56" spans="1:23">
      <c r="A56" s="28" t="s">
        <v>17</v>
      </c>
      <c r="B56" s="35">
        <f ca="1">A49*DIETE!F6</f>
        <v>0</v>
      </c>
      <c r="C56" s="27">
        <f t="shared" ca="1" si="1"/>
        <v>0</v>
      </c>
      <c r="E56" s="28" t="s">
        <v>17</v>
      </c>
      <c r="F56" s="35">
        <v>0</v>
      </c>
      <c r="G56" s="27">
        <f t="shared" ref="G56" si="3">F56/100</f>
        <v>0</v>
      </c>
      <c r="I56" s="28" t="s">
        <v>17</v>
      </c>
      <c r="J56" s="29"/>
      <c r="K56" s="29"/>
      <c r="L56" s="35"/>
      <c r="M56" s="51">
        <f t="shared" ca="1" si="2"/>
        <v>0</v>
      </c>
      <c r="N56" s="54"/>
      <c r="O56" s="27"/>
      <c r="W56" s="35"/>
    </row>
    <row r="57" spans="1:23">
      <c r="A57" s="28" t="s">
        <v>18</v>
      </c>
      <c r="B57" s="35">
        <f ca="1">A49*DIETE!F7</f>
        <v>281.05</v>
      </c>
      <c r="C57" s="27">
        <f t="shared" ca="1" si="1"/>
        <v>2.8105000000000002</v>
      </c>
      <c r="E57" s="28" t="s">
        <v>18</v>
      </c>
      <c r="F57" s="35">
        <f ca="1">E49*DIETE!F7</f>
        <v>189.84000000000003</v>
      </c>
      <c r="G57" s="27">
        <f ca="1">F57/100</f>
        <v>1.8984000000000003</v>
      </c>
      <c r="I57" s="28" t="s">
        <v>18</v>
      </c>
      <c r="J57" s="29"/>
      <c r="K57" s="29"/>
      <c r="L57" s="35"/>
      <c r="M57" s="51">
        <f t="shared" ca="1" si="2"/>
        <v>4.7089000000000008</v>
      </c>
      <c r="N57" s="54"/>
      <c r="O57" s="27"/>
      <c r="W57" s="35"/>
    </row>
    <row r="58" spans="1:23">
      <c r="A58" s="28" t="s">
        <v>19</v>
      </c>
      <c r="B58" s="35">
        <f ca="1">A49*DIETE!F8</f>
        <v>0</v>
      </c>
      <c r="C58" s="27">
        <f t="shared" ca="1" si="1"/>
        <v>0</v>
      </c>
      <c r="E58" s="28" t="s">
        <v>19</v>
      </c>
      <c r="F58" s="35">
        <f ca="1">E49*DIETE!F8</f>
        <v>0</v>
      </c>
      <c r="G58" s="27">
        <f ca="1">F58/100</f>
        <v>0</v>
      </c>
      <c r="I58" s="28" t="s">
        <v>19</v>
      </c>
      <c r="J58" s="29"/>
      <c r="K58" s="29"/>
      <c r="L58" s="35"/>
      <c r="M58" s="51">
        <f t="shared" ca="1" si="2"/>
        <v>0</v>
      </c>
      <c r="N58" s="54"/>
      <c r="O58" s="27"/>
      <c r="W58" s="35"/>
    </row>
    <row r="59" spans="1:23">
      <c r="A59" s="30" t="s">
        <v>21</v>
      </c>
      <c r="B59" s="35">
        <f ca="1">A49*DIETE!F9</f>
        <v>321.2</v>
      </c>
      <c r="C59" s="31">
        <f t="shared" ca="1" si="1"/>
        <v>3.2119999999999997</v>
      </c>
      <c r="E59" s="30" t="s">
        <v>21</v>
      </c>
      <c r="F59" s="44">
        <f ca="1">E49*DIETE!F9</f>
        <v>216.96</v>
      </c>
      <c r="G59" s="31">
        <f ca="1">F59/100</f>
        <v>2.1696</v>
      </c>
      <c r="I59" s="30" t="s">
        <v>21</v>
      </c>
      <c r="J59" s="64"/>
      <c r="K59" s="64"/>
      <c r="L59" s="44"/>
      <c r="M59" s="55">
        <f t="shared" ca="1" si="2"/>
        <v>5.3815999999999997</v>
      </c>
      <c r="N59" s="56" t="s">
        <v>72</v>
      </c>
      <c r="O59" s="31"/>
      <c r="W59" s="35"/>
    </row>
    <row r="60" spans="1:23">
      <c r="A60" s="5"/>
    </row>
    <row r="67" spans="1:1">
      <c r="A67" s="16"/>
    </row>
  </sheetData>
  <mergeCells count="7">
    <mergeCell ref="G35:N35"/>
    <mergeCell ref="I49:M49"/>
    <mergeCell ref="I48:M48"/>
    <mergeCell ref="A48:C48"/>
    <mergeCell ref="A49:C49"/>
    <mergeCell ref="E48:G48"/>
    <mergeCell ref="E49:G49"/>
  </mergeCells>
  <conditionalFormatting sqref="Q15:R15">
    <cfRule type="cellIs" dxfId="8" priority="7" operator="between">
      <formula>42182</formula>
      <formula>42181</formula>
    </cfRule>
  </conditionalFormatting>
  <conditionalFormatting sqref="Q14:R14">
    <cfRule type="cellIs" dxfId="7" priority="6" operator="between">
      <formula>42144</formula>
      <formula>42151</formula>
    </cfRule>
  </conditionalFormatting>
  <conditionalFormatting sqref="T6:T18">
    <cfRule type="cellIs" dxfId="6" priority="1" operator="between">
      <formula>-6</formula>
      <formula>-1</formula>
    </cfRule>
    <cfRule type="cellIs" dxfId="5" priority="2" operator="between">
      <formula>-13</formula>
      <formula>-7</formula>
    </cfRule>
    <cfRule type="cellIs" dxfId="4" priority="3" operator="between">
      <formula>-114</formula>
      <formula>-14</formula>
    </cfRule>
  </conditionalFormatting>
  <pageMargins left="0.70866141732283472" right="0.70866141732283472" top="0.74803149606299213" bottom="0.74803149606299213" header="0.31496062992125984" footer="0.31496062992125984"/>
  <pageSetup paperSiz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9"/>
  <sheetViews>
    <sheetView workbookViewId="0">
      <selection activeCell="F7" sqref="F7"/>
    </sheetView>
  </sheetViews>
  <sheetFormatPr defaultRowHeight="15"/>
  <cols>
    <col min="1" max="1" width="18" customWidth="1"/>
    <col min="2" max="2" width="9.140625" customWidth="1"/>
    <col min="5" max="5" width="15.7109375" customWidth="1"/>
    <col min="6" max="6" width="9.140625" customWidth="1"/>
    <col min="13" max="13" width="9.140625" customWidth="1"/>
    <col min="16" max="16" width="14.28515625" customWidth="1"/>
  </cols>
  <sheetData>
    <row r="1" spans="1:19">
      <c r="B1" s="10">
        <f>B2+B3+B4+B5+B6+B7+B8+B9</f>
        <v>1</v>
      </c>
      <c r="F1" s="10">
        <f>F2+F3+F4+F5+F6+F7+F8+F9</f>
        <v>1.0000000000000002</v>
      </c>
      <c r="L1" s="10">
        <f>L2+L3+L4+L5+L6+L7+L8+L9</f>
        <v>1</v>
      </c>
      <c r="Q1" s="10">
        <f>Q2+Q3+Q4+Q5+Q6+Q7+Q8+Q9</f>
        <v>1</v>
      </c>
      <c r="R1" s="10"/>
    </row>
    <row r="2" spans="1:19" ht="15.75">
      <c r="A2" s="7" t="s">
        <v>13</v>
      </c>
      <c r="B2" s="9">
        <v>0.55000000000000004</v>
      </c>
      <c r="C2" s="5" t="s">
        <v>14</v>
      </c>
      <c r="D2" s="8" t="s">
        <v>20</v>
      </c>
      <c r="E2" s="8"/>
      <c r="F2" s="9">
        <v>0.3</v>
      </c>
      <c r="G2" s="5" t="s">
        <v>14</v>
      </c>
      <c r="H2" s="5"/>
      <c r="I2" s="8" t="s">
        <v>22</v>
      </c>
      <c r="J2" s="8"/>
      <c r="L2" s="9">
        <v>0.1</v>
      </c>
      <c r="M2" s="5" t="s">
        <v>14</v>
      </c>
      <c r="O2" s="8" t="s">
        <v>23</v>
      </c>
      <c r="P2" s="8"/>
      <c r="Q2" s="9">
        <v>0.15</v>
      </c>
      <c r="R2" s="9"/>
      <c r="S2" s="5" t="s">
        <v>14</v>
      </c>
    </row>
    <row r="3" spans="1:19">
      <c r="B3" s="9">
        <v>0.3</v>
      </c>
      <c r="C3" s="5" t="s">
        <v>9</v>
      </c>
      <c r="F3" s="9">
        <v>0.3</v>
      </c>
      <c r="G3" s="5" t="s">
        <v>9</v>
      </c>
      <c r="H3" s="5"/>
      <c r="L3" s="9">
        <v>0.3</v>
      </c>
      <c r="M3" s="5" t="s">
        <v>9</v>
      </c>
      <c r="O3" s="6"/>
      <c r="P3" s="5"/>
      <c r="Q3" s="9">
        <v>0.1</v>
      </c>
      <c r="R3" s="9"/>
      <c r="S3" s="5" t="s">
        <v>9</v>
      </c>
    </row>
    <row r="4" spans="1:19">
      <c r="B4" s="9">
        <v>0.1</v>
      </c>
      <c r="C4" s="5" t="s">
        <v>15</v>
      </c>
      <c r="F4" s="9">
        <v>0.2</v>
      </c>
      <c r="G4" s="5" t="s">
        <v>15</v>
      </c>
      <c r="H4" s="5"/>
      <c r="L4" s="9">
        <v>0.3</v>
      </c>
      <c r="M4" s="5" t="s">
        <v>15</v>
      </c>
      <c r="O4" s="6"/>
      <c r="P4" s="5"/>
      <c r="Q4" s="9">
        <v>0.2</v>
      </c>
      <c r="R4" s="9"/>
      <c r="S4" s="5" t="s">
        <v>15</v>
      </c>
    </row>
    <row r="5" spans="1:19">
      <c r="B5" s="9">
        <v>0</v>
      </c>
      <c r="C5" s="5" t="s">
        <v>16</v>
      </c>
      <c r="F5" s="9">
        <v>0.05</v>
      </c>
      <c r="G5" s="5" t="s">
        <v>16</v>
      </c>
      <c r="H5" s="5"/>
      <c r="L5" s="9">
        <v>0.05</v>
      </c>
      <c r="M5" s="5" t="s">
        <v>16</v>
      </c>
      <c r="O5" s="6"/>
      <c r="P5" s="5"/>
      <c r="Q5" s="9">
        <v>0</v>
      </c>
      <c r="R5" s="9"/>
      <c r="S5" s="5" t="s">
        <v>16</v>
      </c>
    </row>
    <row r="6" spans="1:19">
      <c r="B6" s="9">
        <v>0</v>
      </c>
      <c r="C6" s="5" t="s">
        <v>17</v>
      </c>
      <c r="F6" s="9">
        <v>0</v>
      </c>
      <c r="G6" s="5" t="s">
        <v>17</v>
      </c>
      <c r="H6" s="5"/>
      <c r="L6" s="9">
        <v>0.05</v>
      </c>
      <c r="M6" s="5" t="s">
        <v>17</v>
      </c>
      <c r="O6" s="6"/>
      <c r="P6" s="5"/>
      <c r="Q6" s="9">
        <v>0.05</v>
      </c>
      <c r="R6" s="9"/>
      <c r="S6" s="5" t="s">
        <v>17</v>
      </c>
    </row>
    <row r="7" spans="1:19">
      <c r="B7" s="9">
        <v>0.05</v>
      </c>
      <c r="C7" s="5" t="s">
        <v>18</v>
      </c>
      <c r="F7" s="9">
        <v>7.0000000000000007E-2</v>
      </c>
      <c r="G7" s="5" t="s">
        <v>18</v>
      </c>
      <c r="H7" s="5"/>
      <c r="L7" s="9">
        <v>0.1</v>
      </c>
      <c r="M7" s="5" t="s">
        <v>18</v>
      </c>
      <c r="O7" s="6"/>
      <c r="P7" s="5"/>
      <c r="Q7" s="9">
        <v>0.3</v>
      </c>
      <c r="R7" s="9"/>
      <c r="S7" s="5" t="s">
        <v>18</v>
      </c>
    </row>
    <row r="8" spans="1:19">
      <c r="B8" s="9">
        <v>0</v>
      </c>
      <c r="C8" s="5" t="s">
        <v>19</v>
      </c>
      <c r="F8" s="9">
        <v>0</v>
      </c>
      <c r="G8" s="5" t="s">
        <v>19</v>
      </c>
      <c r="H8" s="5"/>
      <c r="L8" s="9">
        <v>0.05</v>
      </c>
      <c r="M8" s="5" t="s">
        <v>19</v>
      </c>
      <c r="O8" s="6"/>
      <c r="P8" s="5"/>
      <c r="Q8" s="9">
        <v>0.15</v>
      </c>
      <c r="R8" s="9"/>
      <c r="S8" s="5" t="s">
        <v>19</v>
      </c>
    </row>
    <row r="9" spans="1:19">
      <c r="B9" s="10">
        <v>0</v>
      </c>
      <c r="C9" s="5" t="s">
        <v>21</v>
      </c>
      <c r="F9" s="9">
        <v>0.08</v>
      </c>
      <c r="G9" s="5" t="s">
        <v>21</v>
      </c>
      <c r="H9" s="5"/>
      <c r="L9" s="9">
        <v>0.05</v>
      </c>
      <c r="M9" s="5" t="s">
        <v>21</v>
      </c>
      <c r="O9" s="6"/>
      <c r="P9" s="5"/>
      <c r="Q9" s="9">
        <v>0.05</v>
      </c>
      <c r="R9" s="9"/>
      <c r="S9" s="5" t="s">
        <v>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W36"/>
  <sheetViews>
    <sheetView workbookViewId="0">
      <selection activeCell="C19" sqref="C19"/>
    </sheetView>
  </sheetViews>
  <sheetFormatPr defaultRowHeight="15"/>
  <cols>
    <col min="16" max="16" width="10.42578125" customWidth="1"/>
    <col min="17" max="17" width="14.5703125" customWidth="1"/>
    <col min="19" max="19" width="9.140625" customWidth="1"/>
  </cols>
  <sheetData>
    <row r="3" spans="1:23" ht="26.25">
      <c r="C3" s="9"/>
      <c r="D3" s="5"/>
      <c r="E3" s="17" t="s">
        <v>101</v>
      </c>
      <c r="F3" s="17"/>
      <c r="G3" s="17"/>
      <c r="H3" s="17"/>
      <c r="I3" s="17"/>
      <c r="J3" s="17"/>
      <c r="K3" s="17"/>
      <c r="M3" s="6"/>
      <c r="N3" s="5"/>
      <c r="O3" s="5"/>
      <c r="P3" s="5"/>
      <c r="Q3" s="9"/>
      <c r="R3" s="9"/>
      <c r="S3" s="5"/>
      <c r="U3" s="35"/>
      <c r="V3" s="35"/>
    </row>
    <row r="4" spans="1:23">
      <c r="C4" s="9"/>
      <c r="D4" s="5"/>
      <c r="E4" s="5"/>
      <c r="J4" s="9"/>
      <c r="K4" s="5"/>
      <c r="M4" s="6"/>
      <c r="N4" s="5"/>
      <c r="O4" s="5"/>
      <c r="P4" s="5"/>
      <c r="Q4" s="9"/>
      <c r="R4" s="9"/>
      <c r="S4" s="5"/>
    </row>
    <row r="5" spans="1:23">
      <c r="A5" s="19"/>
      <c r="B5" s="19"/>
      <c r="C5" s="48"/>
      <c r="D5" t="s">
        <v>48</v>
      </c>
      <c r="E5" t="s">
        <v>84</v>
      </c>
      <c r="J5" s="9"/>
      <c r="K5" s="5"/>
      <c r="M5" s="6"/>
      <c r="N5" s="5"/>
      <c r="O5" s="5"/>
      <c r="P5" s="5"/>
      <c r="Q5" s="9"/>
      <c r="R5" s="9"/>
      <c r="S5" s="5"/>
    </row>
    <row r="6" spans="1:23">
      <c r="A6" s="77" t="s">
        <v>46</v>
      </c>
      <c r="B6" s="77"/>
      <c r="C6">
        <v>36</v>
      </c>
      <c r="D6">
        <v>2.2999999999999998</v>
      </c>
      <c r="E6">
        <f>C6*D6</f>
        <v>82.8</v>
      </c>
      <c r="S6" s="5"/>
    </row>
    <row r="7" spans="1:23">
      <c r="A7" s="48" t="s">
        <v>47</v>
      </c>
      <c r="B7" s="48"/>
      <c r="C7">
        <v>2</v>
      </c>
      <c r="D7">
        <v>3</v>
      </c>
      <c r="E7">
        <f>C7*D7</f>
        <v>6</v>
      </c>
      <c r="S7" s="5"/>
    </row>
    <row r="8" spans="1:23">
      <c r="S8" s="5"/>
    </row>
    <row r="9" spans="1:23">
      <c r="F9" s="78" t="s">
        <v>45</v>
      </c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</row>
    <row r="10" spans="1:23">
      <c r="B10" s="5" t="s">
        <v>38</v>
      </c>
      <c r="C10" t="s">
        <v>39</v>
      </c>
      <c r="D10" t="s">
        <v>40</v>
      </c>
      <c r="E10" s="4"/>
      <c r="F10" s="57" t="s">
        <v>42</v>
      </c>
      <c r="G10" s="50"/>
      <c r="H10" s="50"/>
      <c r="I10" s="24"/>
      <c r="K10" s="57" t="s">
        <v>43</v>
      </c>
      <c r="L10" s="50"/>
      <c r="M10" s="50"/>
      <c r="N10" s="24" t="s">
        <v>41</v>
      </c>
      <c r="O10" s="35" t="s">
        <v>114</v>
      </c>
      <c r="Q10" s="74" t="s">
        <v>85</v>
      </c>
      <c r="R10" s="75"/>
      <c r="S10" s="58" t="s">
        <v>41</v>
      </c>
      <c r="T10" s="19"/>
      <c r="U10" s="19" t="s">
        <v>44</v>
      </c>
      <c r="W10" t="s">
        <v>41</v>
      </c>
    </row>
    <row r="11" spans="1:23">
      <c r="B11">
        <v>365</v>
      </c>
      <c r="C11">
        <f>B11*E6</f>
        <v>30222</v>
      </c>
      <c r="D11">
        <f>C11/100</f>
        <v>302.22000000000003</v>
      </c>
      <c r="E11" s="4" t="s">
        <v>41</v>
      </c>
      <c r="F11" s="33" t="s">
        <v>79</v>
      </c>
      <c r="G11" s="35"/>
      <c r="H11" s="35"/>
      <c r="I11" s="27"/>
      <c r="K11" s="33"/>
      <c r="L11" s="35"/>
      <c r="M11" s="35"/>
      <c r="N11" s="27"/>
      <c r="O11" s="35"/>
      <c r="Q11" s="33"/>
      <c r="R11" s="35"/>
      <c r="S11" s="27"/>
    </row>
    <row r="12" spans="1:23">
      <c r="F12" s="33"/>
      <c r="G12" s="35"/>
      <c r="H12" s="35"/>
      <c r="I12" s="27"/>
      <c r="K12" s="33"/>
      <c r="L12" s="35"/>
      <c r="M12" s="35"/>
      <c r="N12" s="27"/>
      <c r="O12" s="35"/>
      <c r="Q12" s="33"/>
      <c r="R12" s="35"/>
      <c r="S12" s="27"/>
    </row>
    <row r="13" spans="1:23">
      <c r="A13" s="5" t="s">
        <v>14</v>
      </c>
      <c r="B13" s="5"/>
      <c r="C13">
        <f>C11*DIETE!F2</f>
        <v>9066.6</v>
      </c>
      <c r="D13">
        <f t="shared" ref="D13:D20" si="0">C13/100</f>
        <v>90.665999999999997</v>
      </c>
      <c r="F13" s="33">
        <v>0.6</v>
      </c>
      <c r="G13" s="35">
        <f t="shared" ref="G13:G20" si="1">F13*D13</f>
        <v>54.3996</v>
      </c>
      <c r="H13" s="35"/>
      <c r="I13" s="27"/>
      <c r="K13" s="33">
        <v>0.1</v>
      </c>
      <c r="L13" s="35">
        <f t="shared" ref="L13:L20" si="2">K13*D13</f>
        <v>9.0665999999999993</v>
      </c>
      <c r="M13" s="35">
        <f t="shared" ref="M13:M20" si="3">L13+G13</f>
        <v>63.466200000000001</v>
      </c>
      <c r="N13" s="27">
        <f t="shared" ref="N13:N20" si="4">G13+M13</f>
        <v>117.86580000000001</v>
      </c>
      <c r="O13" s="35"/>
      <c r="Q13" s="33">
        <v>17</v>
      </c>
      <c r="R13" s="35"/>
      <c r="S13" s="27">
        <f t="shared" ref="S13:S20" si="5">Q13*D13</f>
        <v>1541.3219999999999</v>
      </c>
    </row>
    <row r="14" spans="1:23">
      <c r="A14" s="5" t="s">
        <v>9</v>
      </c>
      <c r="B14" s="5"/>
      <c r="C14">
        <f>C11*DIETE!F3</f>
        <v>9066.6</v>
      </c>
      <c r="D14">
        <f t="shared" si="0"/>
        <v>90.665999999999997</v>
      </c>
      <c r="F14" s="33">
        <v>0.6</v>
      </c>
      <c r="G14" s="35">
        <f t="shared" si="1"/>
        <v>54.3996</v>
      </c>
      <c r="H14" s="35"/>
      <c r="I14" s="27"/>
      <c r="K14" s="33">
        <v>0.1</v>
      </c>
      <c r="L14" s="35">
        <f t="shared" si="2"/>
        <v>9.0665999999999993</v>
      </c>
      <c r="M14" s="35">
        <f t="shared" si="3"/>
        <v>63.466200000000001</v>
      </c>
      <c r="N14" s="27">
        <f t="shared" si="4"/>
        <v>117.86580000000001</v>
      </c>
      <c r="O14" s="35"/>
      <c r="Q14" s="33">
        <v>17</v>
      </c>
      <c r="R14" s="35"/>
      <c r="S14" s="27">
        <f t="shared" si="5"/>
        <v>1541.3219999999999</v>
      </c>
    </row>
    <row r="15" spans="1:23">
      <c r="A15" s="5" t="s">
        <v>15</v>
      </c>
      <c r="B15" s="5"/>
      <c r="C15">
        <f>C11*DIETE!F4</f>
        <v>6044.4000000000005</v>
      </c>
      <c r="D15">
        <f t="shared" si="0"/>
        <v>60.444000000000003</v>
      </c>
      <c r="F15" s="33">
        <v>0.6</v>
      </c>
      <c r="G15" s="35">
        <f t="shared" si="1"/>
        <v>36.266399999999997</v>
      </c>
      <c r="H15" s="35"/>
      <c r="I15" s="27"/>
      <c r="K15" s="33">
        <v>0.1</v>
      </c>
      <c r="L15" s="35">
        <f t="shared" si="2"/>
        <v>6.0444000000000004</v>
      </c>
      <c r="M15" s="35">
        <f t="shared" si="3"/>
        <v>42.3108</v>
      </c>
      <c r="N15" s="27">
        <f t="shared" si="4"/>
        <v>78.577200000000005</v>
      </c>
      <c r="O15" s="35"/>
      <c r="Q15" s="33">
        <v>17</v>
      </c>
      <c r="R15" s="35"/>
      <c r="S15" s="27">
        <f t="shared" si="5"/>
        <v>1027.548</v>
      </c>
    </row>
    <row r="16" spans="1:23">
      <c r="A16" s="5" t="s">
        <v>16</v>
      </c>
      <c r="B16" s="5"/>
      <c r="C16">
        <f>C11*DIETE!F5</f>
        <v>1511.1000000000001</v>
      </c>
      <c r="D16">
        <f t="shared" si="0"/>
        <v>15.111000000000001</v>
      </c>
      <c r="F16" s="33">
        <v>0.6</v>
      </c>
      <c r="G16" s="35">
        <f t="shared" si="1"/>
        <v>9.0665999999999993</v>
      </c>
      <c r="H16" s="35"/>
      <c r="I16" s="27"/>
      <c r="K16" s="33">
        <v>0.1</v>
      </c>
      <c r="L16" s="35">
        <f t="shared" si="2"/>
        <v>1.5111000000000001</v>
      </c>
      <c r="M16" s="35">
        <f t="shared" si="3"/>
        <v>10.5777</v>
      </c>
      <c r="N16" s="27">
        <f t="shared" si="4"/>
        <v>19.644300000000001</v>
      </c>
      <c r="O16" s="35"/>
      <c r="Q16" s="33">
        <v>18</v>
      </c>
      <c r="R16" s="35"/>
      <c r="S16" s="27">
        <f t="shared" si="5"/>
        <v>271.99799999999999</v>
      </c>
    </row>
    <row r="17" spans="1:19">
      <c r="A17" s="5" t="s">
        <v>17</v>
      </c>
      <c r="B17" s="5"/>
      <c r="C17">
        <f>C11*DIETE!F6</f>
        <v>0</v>
      </c>
      <c r="D17">
        <f t="shared" si="0"/>
        <v>0</v>
      </c>
      <c r="F17" s="33">
        <v>0.6</v>
      </c>
      <c r="G17" s="35">
        <f t="shared" si="1"/>
        <v>0</v>
      </c>
      <c r="H17" s="35"/>
      <c r="I17" s="27"/>
      <c r="K17" s="33">
        <v>0.1</v>
      </c>
      <c r="L17" s="35">
        <f t="shared" si="2"/>
        <v>0</v>
      </c>
      <c r="M17" s="35">
        <f t="shared" si="3"/>
        <v>0</v>
      </c>
      <c r="N17" s="27">
        <f t="shared" si="4"/>
        <v>0</v>
      </c>
      <c r="O17" s="35"/>
      <c r="Q17" s="33">
        <v>22</v>
      </c>
      <c r="R17" s="35"/>
      <c r="S17" s="27">
        <f t="shared" si="5"/>
        <v>0</v>
      </c>
    </row>
    <row r="18" spans="1:19">
      <c r="A18" s="5" t="s">
        <v>18</v>
      </c>
      <c r="B18" s="5"/>
      <c r="C18">
        <f>C11*DIETE!F7</f>
        <v>2115.5400000000004</v>
      </c>
      <c r="D18">
        <f t="shared" si="0"/>
        <v>21.155400000000004</v>
      </c>
      <c r="F18" s="33">
        <v>0.6</v>
      </c>
      <c r="G18" s="35">
        <f t="shared" si="1"/>
        <v>12.693240000000001</v>
      </c>
      <c r="H18" s="35"/>
      <c r="I18" s="27"/>
      <c r="K18" s="33">
        <v>0.1</v>
      </c>
      <c r="L18" s="35">
        <f t="shared" si="2"/>
        <v>2.1155400000000006</v>
      </c>
      <c r="M18" s="35">
        <f t="shared" si="3"/>
        <v>14.808780000000002</v>
      </c>
      <c r="N18" s="27">
        <f t="shared" si="4"/>
        <v>27.502020000000002</v>
      </c>
      <c r="O18" s="35"/>
      <c r="Q18" s="33">
        <v>10</v>
      </c>
      <c r="R18" s="35"/>
      <c r="S18" s="27">
        <f t="shared" si="5"/>
        <v>211.55400000000003</v>
      </c>
    </row>
    <row r="19" spans="1:19">
      <c r="A19" s="5" t="s">
        <v>19</v>
      </c>
      <c r="B19" s="5"/>
      <c r="C19">
        <f>C11*DIETE!F8</f>
        <v>0</v>
      </c>
      <c r="D19">
        <f t="shared" si="0"/>
        <v>0</v>
      </c>
      <c r="F19" s="33">
        <v>0.6</v>
      </c>
      <c r="G19" s="35">
        <f t="shared" si="1"/>
        <v>0</v>
      </c>
      <c r="H19" s="35"/>
      <c r="I19" s="27"/>
      <c r="K19" s="33">
        <v>0.1</v>
      </c>
      <c r="L19" s="35">
        <f t="shared" si="2"/>
        <v>0</v>
      </c>
      <c r="M19" s="35">
        <f t="shared" si="3"/>
        <v>0</v>
      </c>
      <c r="N19" s="27">
        <f t="shared" si="4"/>
        <v>0</v>
      </c>
      <c r="O19" s="35"/>
      <c r="Q19" s="33">
        <v>20</v>
      </c>
      <c r="R19" s="35"/>
      <c r="S19" s="27">
        <f t="shared" si="5"/>
        <v>0</v>
      </c>
    </row>
    <row r="20" spans="1:19">
      <c r="A20" s="5" t="s">
        <v>21</v>
      </c>
      <c r="B20" s="5"/>
      <c r="C20">
        <f>C11*DIETE!F9</f>
        <v>2417.7600000000002</v>
      </c>
      <c r="D20">
        <f t="shared" si="0"/>
        <v>24.177600000000002</v>
      </c>
      <c r="F20" s="33">
        <v>0.6</v>
      </c>
      <c r="G20" s="35">
        <f t="shared" si="1"/>
        <v>14.50656</v>
      </c>
      <c r="H20" s="35"/>
      <c r="I20" s="27"/>
      <c r="K20" s="33">
        <v>0.1</v>
      </c>
      <c r="L20" s="35">
        <f t="shared" si="2"/>
        <v>2.4177600000000004</v>
      </c>
      <c r="M20" s="35">
        <f t="shared" si="3"/>
        <v>16.924320000000002</v>
      </c>
      <c r="N20" s="27">
        <f t="shared" si="4"/>
        <v>31.430880000000002</v>
      </c>
      <c r="O20" s="35"/>
      <c r="Q20" s="33">
        <v>22</v>
      </c>
      <c r="R20" s="35"/>
      <c r="S20" s="27">
        <f t="shared" si="5"/>
        <v>531.90719999999999</v>
      </c>
    </row>
    <row r="21" spans="1:19" ht="12.75" customHeight="1">
      <c r="F21" s="34"/>
      <c r="G21" s="59">
        <f>SUM(G13:G20)</f>
        <v>181.33199999999999</v>
      </c>
      <c r="H21" s="44"/>
      <c r="I21" s="31"/>
      <c r="K21" s="34"/>
      <c r="L21" s="44"/>
      <c r="M21" s="44"/>
      <c r="N21" s="40">
        <f>SUM(N13:N20)</f>
        <v>392.88600000000002</v>
      </c>
      <c r="O21" s="36">
        <f>N21+G21</f>
        <v>574.21800000000007</v>
      </c>
      <c r="P21" s="4"/>
      <c r="Q21" s="34"/>
      <c r="R21" s="44"/>
      <c r="S21" s="40">
        <f>SUM(S13:S20)</f>
        <v>5125.6511999999993</v>
      </c>
    </row>
    <row r="22" spans="1:19" ht="12.75" customHeight="1">
      <c r="F22" s="35"/>
      <c r="G22" s="36"/>
      <c r="H22" s="35"/>
      <c r="I22" s="35"/>
      <c r="K22" s="35"/>
      <c r="L22" s="35"/>
      <c r="M22" s="35"/>
      <c r="N22" s="36"/>
      <c r="O22" s="36"/>
      <c r="P22" s="4"/>
      <c r="Q22" s="35"/>
      <c r="R22" s="35"/>
      <c r="S22" s="36"/>
    </row>
    <row r="23" spans="1:19" ht="12.75" customHeight="1">
      <c r="F23" s="35"/>
      <c r="G23" s="36"/>
      <c r="H23" s="35"/>
      <c r="I23" s="35"/>
      <c r="K23" s="35"/>
      <c r="L23" s="35"/>
      <c r="M23" s="35"/>
      <c r="N23" s="36"/>
      <c r="O23" s="36"/>
      <c r="P23" s="4"/>
      <c r="Q23" s="35"/>
      <c r="R23" s="35"/>
      <c r="S23" s="36"/>
    </row>
    <row r="24" spans="1:19" ht="12.75" customHeight="1">
      <c r="F24" s="35"/>
      <c r="G24" s="36"/>
      <c r="H24" s="35"/>
      <c r="I24" s="35"/>
      <c r="K24" s="35"/>
      <c r="L24" s="35"/>
      <c r="M24" s="35"/>
      <c r="N24" s="36"/>
      <c r="O24" s="36"/>
      <c r="P24" s="4"/>
      <c r="Q24" s="35"/>
      <c r="R24" s="35"/>
      <c r="S24" s="36"/>
    </row>
    <row r="25" spans="1:19" ht="12.75" customHeight="1">
      <c r="F25" s="35"/>
      <c r="G25" s="36"/>
      <c r="H25" s="35"/>
      <c r="I25" s="35"/>
      <c r="K25" s="35"/>
      <c r="L25" s="35"/>
      <c r="M25" s="35"/>
      <c r="N25" s="36"/>
      <c r="O25" s="36"/>
      <c r="P25" s="4"/>
      <c r="Q25" s="35"/>
      <c r="R25" s="35"/>
      <c r="S25" s="36"/>
    </row>
    <row r="26" spans="1:19" ht="12.75" customHeight="1">
      <c r="F26" s="35"/>
      <c r="G26" s="36"/>
      <c r="H26" s="35"/>
      <c r="I26" s="35"/>
      <c r="K26" s="35"/>
      <c r="L26" s="35"/>
      <c r="M26" s="35"/>
      <c r="N26" s="36"/>
      <c r="O26" s="36"/>
      <c r="P26" s="4"/>
      <c r="Q26" s="35"/>
      <c r="R26" s="35"/>
      <c r="S26" s="36"/>
    </row>
    <row r="27" spans="1:19" ht="12.75" customHeight="1">
      <c r="F27" s="35"/>
      <c r="G27" s="36"/>
      <c r="H27" s="35"/>
      <c r="I27" s="35"/>
      <c r="K27" s="35"/>
      <c r="L27" s="35"/>
      <c r="M27" s="35"/>
      <c r="N27" s="36"/>
      <c r="O27" s="36"/>
      <c r="P27" s="4"/>
      <c r="Q27" s="35"/>
      <c r="R27" s="35"/>
      <c r="S27" s="36"/>
    </row>
    <row r="30" spans="1:19">
      <c r="A30" s="77" t="s">
        <v>94</v>
      </c>
      <c r="B30" s="77"/>
      <c r="C30" s="77"/>
      <c r="D30" s="77"/>
      <c r="E30" s="77"/>
    </row>
    <row r="31" spans="1:19">
      <c r="A31" t="s">
        <v>92</v>
      </c>
      <c r="D31" t="s">
        <v>93</v>
      </c>
    </row>
    <row r="32" spans="1:19">
      <c r="A32" t="s">
        <v>95</v>
      </c>
      <c r="D32" t="s">
        <v>95</v>
      </c>
    </row>
    <row r="33" spans="1:5">
      <c r="A33">
        <v>680</v>
      </c>
      <c r="B33" t="s">
        <v>98</v>
      </c>
      <c r="D33">
        <v>470</v>
      </c>
      <c r="E33" t="s">
        <v>96</v>
      </c>
    </row>
    <row r="34" spans="1:5">
      <c r="A34">
        <v>200</v>
      </c>
      <c r="B34" t="s">
        <v>99</v>
      </c>
      <c r="D34">
        <v>20</v>
      </c>
      <c r="E34" t="s">
        <v>97</v>
      </c>
    </row>
    <row r="36" spans="1:5">
      <c r="A36">
        <v>500</v>
      </c>
      <c r="B36" t="s">
        <v>100</v>
      </c>
    </row>
  </sheetData>
  <mergeCells count="4">
    <mergeCell ref="A6:B6"/>
    <mergeCell ref="Q10:R10"/>
    <mergeCell ref="F9:V9"/>
    <mergeCell ref="A30:E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R16"/>
  <sheetViews>
    <sheetView workbookViewId="0">
      <selection activeCell="G13" sqref="G13"/>
    </sheetView>
  </sheetViews>
  <sheetFormatPr defaultRowHeight="15"/>
  <cols>
    <col min="4" max="4" width="11.140625" customWidth="1"/>
  </cols>
  <sheetData>
    <row r="2" spans="1:18" ht="23.25">
      <c r="G2" s="80" t="s">
        <v>102</v>
      </c>
      <c r="H2" s="80"/>
      <c r="I2" s="80"/>
      <c r="J2" s="80"/>
      <c r="K2" s="80"/>
      <c r="L2" s="80"/>
      <c r="M2" s="63"/>
      <c r="N2" s="63"/>
      <c r="O2" s="63"/>
      <c r="P2" s="63"/>
      <c r="Q2" s="63"/>
      <c r="R2" s="63"/>
    </row>
    <row r="3" spans="1:18" ht="23.25">
      <c r="M3" s="61"/>
      <c r="N3" s="61"/>
      <c r="O3" s="61"/>
      <c r="P3" s="61"/>
      <c r="Q3" s="61"/>
      <c r="R3" s="61"/>
    </row>
    <row r="4" spans="1:18" ht="23.25">
      <c r="M4" s="61"/>
      <c r="N4" s="61"/>
      <c r="O4" s="61"/>
      <c r="P4" s="61"/>
      <c r="Q4" s="61"/>
      <c r="R4" s="61"/>
    </row>
    <row r="5" spans="1:18">
      <c r="D5" s="78" t="s">
        <v>94</v>
      </c>
      <c r="E5" s="77"/>
      <c r="F5" s="77"/>
      <c r="G5" s="77"/>
    </row>
    <row r="8" spans="1:18" ht="18.75">
      <c r="G8" s="79"/>
      <c r="H8" s="79"/>
      <c r="I8" s="79"/>
      <c r="J8" s="79"/>
      <c r="K8" s="79"/>
    </row>
    <row r="9" spans="1:18">
      <c r="D9" s="4" t="s">
        <v>107</v>
      </c>
      <c r="G9" s="4" t="s">
        <v>103</v>
      </c>
      <c r="J9" s="4" t="s">
        <v>104</v>
      </c>
    </row>
    <row r="10" spans="1:18">
      <c r="D10" s="62" t="s">
        <v>108</v>
      </c>
      <c r="G10" s="62" t="s">
        <v>24</v>
      </c>
      <c r="J10" s="62" t="s">
        <v>24</v>
      </c>
    </row>
    <row r="11" spans="1:18">
      <c r="A11" t="s">
        <v>105</v>
      </c>
      <c r="G11">
        <v>680</v>
      </c>
    </row>
    <row r="12" spans="1:18">
      <c r="A12" t="s">
        <v>99</v>
      </c>
      <c r="G12">
        <v>200</v>
      </c>
    </row>
    <row r="13" spans="1:18">
      <c r="A13" t="s">
        <v>106</v>
      </c>
    </row>
    <row r="14" spans="1:18">
      <c r="A14" t="s">
        <v>96</v>
      </c>
      <c r="J14">
        <v>470</v>
      </c>
    </row>
    <row r="15" spans="1:18">
      <c r="A15" t="s">
        <v>100</v>
      </c>
      <c r="G15">
        <v>500</v>
      </c>
    </row>
    <row r="16" spans="1:18">
      <c r="A16" t="s">
        <v>97</v>
      </c>
      <c r="J16">
        <v>20</v>
      </c>
    </row>
  </sheetData>
  <mergeCells count="3">
    <mergeCell ref="G8:K8"/>
    <mergeCell ref="D5:G5"/>
    <mergeCell ref="G2:L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I20"/>
  <sheetViews>
    <sheetView workbookViewId="0">
      <selection activeCell="F22" sqref="F22"/>
    </sheetView>
  </sheetViews>
  <sheetFormatPr defaultRowHeight="15"/>
  <cols>
    <col min="2" max="2" width="9.7109375" bestFit="1" customWidth="1"/>
    <col min="6" max="6" width="10.7109375" bestFit="1" customWidth="1"/>
  </cols>
  <sheetData>
    <row r="2" spans="1:6">
      <c r="A2" t="s">
        <v>117</v>
      </c>
      <c r="E2" t="s">
        <v>129</v>
      </c>
      <c r="F2" s="68">
        <v>42371</v>
      </c>
    </row>
    <row r="5" spans="1:6">
      <c r="B5" t="s">
        <v>125</v>
      </c>
      <c r="D5" t="s">
        <v>126</v>
      </c>
      <c r="F5" t="s">
        <v>127</v>
      </c>
    </row>
    <row r="7" spans="1:6">
      <c r="B7" t="s">
        <v>124</v>
      </c>
    </row>
    <row r="8" spans="1:6">
      <c r="A8" t="s">
        <v>120</v>
      </c>
      <c r="B8">
        <v>12</v>
      </c>
    </row>
    <row r="9" spans="1:6">
      <c r="A9" t="s">
        <v>118</v>
      </c>
      <c r="B9">
        <v>12</v>
      </c>
    </row>
    <row r="10" spans="1:6">
      <c r="A10" t="s">
        <v>119</v>
      </c>
      <c r="B10">
        <v>8</v>
      </c>
    </row>
    <row r="11" spans="1:6">
      <c r="A11" t="s">
        <v>121</v>
      </c>
      <c r="B11">
        <v>3.5</v>
      </c>
    </row>
    <row r="12" spans="1:6">
      <c r="A12" t="s">
        <v>122</v>
      </c>
      <c r="B12">
        <v>3</v>
      </c>
    </row>
    <row r="13" spans="1:6">
      <c r="A13" t="s">
        <v>123</v>
      </c>
      <c r="B13">
        <v>2</v>
      </c>
    </row>
    <row r="14" spans="1:6">
      <c r="B14">
        <f>SUM(B8:B13)</f>
        <v>40.5</v>
      </c>
      <c r="D14">
        <v>7</v>
      </c>
      <c r="F14">
        <f>D14*B14</f>
        <v>283.5</v>
      </c>
    </row>
    <row r="17" spans="1:9">
      <c r="A17" t="s">
        <v>128</v>
      </c>
    </row>
    <row r="18" spans="1:9">
      <c r="C18" t="s">
        <v>131</v>
      </c>
      <c r="G18" s="77" t="s">
        <v>132</v>
      </c>
      <c r="H18" s="77"/>
      <c r="I18" s="77"/>
    </row>
    <row r="20" spans="1:9">
      <c r="A20" t="s">
        <v>130</v>
      </c>
      <c r="B20">
        <v>3</v>
      </c>
      <c r="C20">
        <v>2.7</v>
      </c>
      <c r="H20">
        <f>F14/(C20*B20)</f>
        <v>34.999999999999993</v>
      </c>
    </row>
  </sheetData>
  <mergeCells count="1">
    <mergeCell ref="G18:I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Q13"/>
  <sheetViews>
    <sheetView workbookViewId="0">
      <selection activeCell="P5" sqref="P5"/>
    </sheetView>
  </sheetViews>
  <sheetFormatPr defaultRowHeight="15"/>
  <cols>
    <col min="10" max="10" width="8.7109375" customWidth="1"/>
  </cols>
  <sheetData>
    <row r="2" spans="1:17" ht="15" customHeight="1">
      <c r="A2" s="89" t="s">
        <v>158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ht="15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5" spans="1:17">
      <c r="D5" t="s">
        <v>139</v>
      </c>
      <c r="F5" t="s">
        <v>139</v>
      </c>
      <c r="I5" t="s">
        <v>139</v>
      </c>
      <c r="L5" t="s">
        <v>139</v>
      </c>
      <c r="O5" t="s">
        <v>142</v>
      </c>
      <c r="P5" t="s">
        <v>161</v>
      </c>
      <c r="Q5" t="s">
        <v>143</v>
      </c>
    </row>
    <row r="6" spans="1:17">
      <c r="B6" t="s">
        <v>133</v>
      </c>
      <c r="D6" t="s">
        <v>134</v>
      </c>
      <c r="F6" t="s">
        <v>140</v>
      </c>
      <c r="H6" t="s">
        <v>135</v>
      </c>
      <c r="I6" t="s">
        <v>135</v>
      </c>
      <c r="K6" t="s">
        <v>136</v>
      </c>
      <c r="L6" t="s">
        <v>136</v>
      </c>
      <c r="N6" t="s">
        <v>141</v>
      </c>
    </row>
    <row r="7" spans="1:17">
      <c r="A7" t="s">
        <v>14</v>
      </c>
      <c r="B7">
        <v>90</v>
      </c>
      <c r="D7">
        <v>0.9</v>
      </c>
      <c r="F7">
        <v>81</v>
      </c>
      <c r="H7">
        <v>14.23</v>
      </c>
      <c r="I7">
        <f>H7*D7</f>
        <v>12.807</v>
      </c>
      <c r="K7">
        <v>11.09</v>
      </c>
      <c r="L7">
        <f>K7*D7</f>
        <v>9.9809999999999999</v>
      </c>
      <c r="N7" s="81">
        <v>2.3999999999999998E-3</v>
      </c>
      <c r="O7" s="81">
        <f>N7*D7</f>
        <v>2.16E-3</v>
      </c>
      <c r="P7" s="3">
        <v>2.3999999999999998E-3</v>
      </c>
      <c r="Q7" s="3">
        <f>O7</f>
        <v>2.16E-3</v>
      </c>
    </row>
    <row r="8" spans="1:17">
      <c r="A8" t="s">
        <v>9</v>
      </c>
      <c r="B8">
        <v>100</v>
      </c>
      <c r="D8">
        <v>0.9</v>
      </c>
      <c r="F8">
        <v>90</v>
      </c>
      <c r="H8">
        <v>12.61</v>
      </c>
      <c r="I8">
        <f>H8*D8</f>
        <v>11.349</v>
      </c>
      <c r="K8">
        <v>12.21</v>
      </c>
      <c r="L8">
        <f>K8*D8</f>
        <v>10.989000000000001</v>
      </c>
      <c r="N8" s="81">
        <v>4.1999999999999997E-3</v>
      </c>
      <c r="O8" s="81">
        <f>N8*D8</f>
        <v>3.7799999999999999E-3</v>
      </c>
      <c r="P8" s="3">
        <v>4.1999999999999997E-3</v>
      </c>
      <c r="Q8" s="3">
        <f>O8</f>
        <v>3.7799999999999999E-3</v>
      </c>
    </row>
    <row r="9" spans="1:17">
      <c r="A9" t="s">
        <v>137</v>
      </c>
      <c r="B9">
        <v>263</v>
      </c>
      <c r="D9">
        <v>0.6</v>
      </c>
      <c r="F9">
        <v>157.80000000000001</v>
      </c>
      <c r="H9">
        <v>13.81</v>
      </c>
      <c r="I9">
        <f>H9*D9</f>
        <v>8.2859999999999996</v>
      </c>
      <c r="K9">
        <v>13.05</v>
      </c>
      <c r="L9">
        <f>K9*D9</f>
        <v>7.83</v>
      </c>
      <c r="N9" s="81">
        <v>1.7100000000000001E-2</v>
      </c>
      <c r="O9" s="81">
        <f>N9*D9</f>
        <v>1.026E-2</v>
      </c>
      <c r="P9" s="3">
        <v>1.7100000000000001E-2</v>
      </c>
      <c r="Q9" s="3">
        <f>O9</f>
        <v>1.026E-2</v>
      </c>
    </row>
    <row r="10" spans="1:17">
      <c r="A10" t="s">
        <v>21</v>
      </c>
      <c r="B10">
        <v>295</v>
      </c>
      <c r="D10">
        <v>0.24</v>
      </c>
      <c r="F10">
        <v>70.8</v>
      </c>
      <c r="H10">
        <v>9.2100000000000009</v>
      </c>
      <c r="I10">
        <f>H10*D10</f>
        <v>2.2103999999999999</v>
      </c>
      <c r="K10">
        <v>8.3699999999999992</v>
      </c>
      <c r="L10">
        <f>K10*D10</f>
        <v>2.0087999999999999</v>
      </c>
      <c r="N10" s="81">
        <v>6.3E-3</v>
      </c>
      <c r="O10" s="81">
        <f>N10*D10</f>
        <v>1.5119999999999999E-3</v>
      </c>
      <c r="P10" s="3">
        <v>6.3E-3</v>
      </c>
      <c r="Q10" s="3">
        <f>O10</f>
        <v>1.5119999999999999E-3</v>
      </c>
    </row>
    <row r="11" spans="1:17">
      <c r="A11" t="s">
        <v>16</v>
      </c>
      <c r="B11">
        <v>112</v>
      </c>
      <c r="D11">
        <v>0.15</v>
      </c>
      <c r="F11">
        <v>16.8</v>
      </c>
      <c r="H11">
        <v>13.84</v>
      </c>
      <c r="I11">
        <f>H11*D11</f>
        <v>2.0760000000000001</v>
      </c>
      <c r="K11">
        <v>13.43</v>
      </c>
      <c r="L11">
        <f>K11*D11</f>
        <v>2.0145</v>
      </c>
      <c r="N11" s="81">
        <v>3.8E-3</v>
      </c>
      <c r="O11" s="81">
        <f>N11*D11</f>
        <v>5.6999999999999998E-4</v>
      </c>
      <c r="P11" s="3">
        <v>3.8E-3</v>
      </c>
      <c r="Q11" s="3">
        <f>O11</f>
        <v>5.6999999999999998E-4</v>
      </c>
    </row>
    <row r="12" spans="1:17">
      <c r="A12" t="s">
        <v>138</v>
      </c>
      <c r="B12">
        <v>147</v>
      </c>
      <c r="D12">
        <v>0.21</v>
      </c>
      <c r="F12">
        <v>30.87</v>
      </c>
      <c r="H12">
        <v>11.06</v>
      </c>
      <c r="I12">
        <f>H12*D12</f>
        <v>2.3226</v>
      </c>
      <c r="K12">
        <v>9.23</v>
      </c>
      <c r="L12">
        <f>K12*D12</f>
        <v>1.9382999999999999</v>
      </c>
      <c r="N12" s="81">
        <v>5.7999999999999996E-3</v>
      </c>
      <c r="O12" s="81">
        <f>N12*D12</f>
        <v>1.2179999999999999E-3</v>
      </c>
      <c r="P12" s="3">
        <v>5.7999999999999996E-3</v>
      </c>
      <c r="Q12" s="3">
        <f>O12</f>
        <v>1.2179999999999999E-3</v>
      </c>
    </row>
    <row r="13" spans="1:17">
      <c r="D13">
        <v>3</v>
      </c>
      <c r="F13">
        <v>447.27</v>
      </c>
      <c r="I13">
        <f>SUM(I7:I12)</f>
        <v>39.051000000000002</v>
      </c>
      <c r="L13">
        <f>SUM(L7:L12)</f>
        <v>34.761599999999994</v>
      </c>
      <c r="N13" s="81"/>
      <c r="O13" s="81">
        <f>SUM(O7:O12)</f>
        <v>1.95E-2</v>
      </c>
      <c r="P13" s="81"/>
      <c r="Q13" s="3">
        <f>SUM(Q7:Q12)</f>
        <v>1.95E-2</v>
      </c>
    </row>
  </sheetData>
  <mergeCells count="1">
    <mergeCell ref="A2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V43"/>
  <sheetViews>
    <sheetView tabSelected="1" workbookViewId="0">
      <selection activeCell="S38" sqref="S38"/>
    </sheetView>
  </sheetViews>
  <sheetFormatPr defaultRowHeight="15"/>
  <cols>
    <col min="2" max="2" width="11.42578125" customWidth="1"/>
    <col min="3" max="6" width="9.140625" customWidth="1"/>
    <col min="7" max="7" width="11.42578125" customWidth="1"/>
    <col min="8" max="8" width="10.140625" customWidth="1"/>
    <col min="9" max="9" width="10.42578125" customWidth="1"/>
    <col min="10" max="10" width="10" customWidth="1"/>
    <col min="11" max="11" width="10.85546875" customWidth="1"/>
    <col min="13" max="13" width="10" customWidth="1"/>
    <col min="18" max="18" width="11" customWidth="1"/>
    <col min="19" max="19" width="12.85546875" customWidth="1"/>
    <col min="20" max="20" width="11" customWidth="1"/>
  </cols>
  <sheetData>
    <row r="2" spans="1:22">
      <c r="A2" s="92" t="s">
        <v>160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1:22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</row>
    <row r="8" spans="1:22">
      <c r="F8" t="s">
        <v>148</v>
      </c>
      <c r="G8" t="s">
        <v>154</v>
      </c>
      <c r="H8" t="s">
        <v>145</v>
      </c>
      <c r="I8" t="s">
        <v>164</v>
      </c>
      <c r="J8" t="s">
        <v>163</v>
      </c>
      <c r="K8" t="s">
        <v>162</v>
      </c>
    </row>
    <row r="9" spans="1:22">
      <c r="F9">
        <v>0</v>
      </c>
      <c r="H9">
        <v>0</v>
      </c>
      <c r="I9">
        <v>0</v>
      </c>
      <c r="J9">
        <v>0</v>
      </c>
      <c r="K9" s="3">
        <v>0</v>
      </c>
    </row>
    <row r="10" spans="1:22">
      <c r="F10">
        <v>1</v>
      </c>
      <c r="G10" t="s">
        <v>14</v>
      </c>
      <c r="H10">
        <v>1000</v>
      </c>
      <c r="I10">
        <v>13.87</v>
      </c>
      <c r="J10">
        <v>90</v>
      </c>
      <c r="K10" s="3">
        <f>'VALORI NUTRITIVI ALIMENTI'!P7*1000</f>
        <v>2.4</v>
      </c>
    </row>
    <row r="11" spans="1:22">
      <c r="F11">
        <v>2</v>
      </c>
      <c r="G11" t="s">
        <v>9</v>
      </c>
      <c r="H11">
        <v>1000</v>
      </c>
      <c r="I11">
        <v>12.21</v>
      </c>
      <c r="J11">
        <v>100</v>
      </c>
      <c r="K11" s="3">
        <f>'VALORI NUTRITIVI ALIMENTI'!P8*1000</f>
        <v>4.2</v>
      </c>
    </row>
    <row r="12" spans="1:22">
      <c r="B12" s="19"/>
      <c r="C12" s="19"/>
      <c r="D12" s="19"/>
      <c r="E12" s="19"/>
      <c r="F12">
        <v>3</v>
      </c>
      <c r="G12" t="s">
        <v>137</v>
      </c>
      <c r="H12">
        <v>1000</v>
      </c>
      <c r="I12">
        <v>13.05</v>
      </c>
      <c r="J12">
        <v>263</v>
      </c>
      <c r="K12" s="3">
        <f>'VALORI NUTRITIVI ALIMENTI'!P9*1000</f>
        <v>17.100000000000001</v>
      </c>
    </row>
    <row r="13" spans="1:22">
      <c r="B13" s="19"/>
      <c r="C13" s="19"/>
      <c r="D13" s="19"/>
      <c r="E13" s="19"/>
      <c r="F13">
        <v>4</v>
      </c>
      <c r="G13" t="s">
        <v>21</v>
      </c>
      <c r="H13">
        <v>1000</v>
      </c>
      <c r="I13">
        <v>8.3699999999999992</v>
      </c>
      <c r="J13">
        <v>160</v>
      </c>
      <c r="K13" s="3">
        <f>'VALORI NUTRITIVI ALIMENTI'!P10*1000</f>
        <v>6.3</v>
      </c>
    </row>
    <row r="14" spans="1:22">
      <c r="F14">
        <v>5</v>
      </c>
      <c r="G14" t="s">
        <v>16</v>
      </c>
      <c r="H14">
        <v>1000</v>
      </c>
      <c r="I14">
        <v>13.43</v>
      </c>
      <c r="J14">
        <v>112</v>
      </c>
      <c r="K14" s="3">
        <f>'VALORI NUTRITIVI ALIMENTI'!P11*1000</f>
        <v>3.8</v>
      </c>
    </row>
    <row r="15" spans="1:22">
      <c r="F15">
        <v>6</v>
      </c>
      <c r="G15" t="s">
        <v>138</v>
      </c>
      <c r="H15">
        <v>1000</v>
      </c>
      <c r="I15">
        <v>9.23</v>
      </c>
      <c r="J15">
        <v>147</v>
      </c>
      <c r="K15" s="3">
        <f>'VALORI NUTRITIVI ALIMENTI'!P12*1000</f>
        <v>5.8</v>
      </c>
    </row>
    <row r="16" spans="1:22">
      <c r="U16" s="77"/>
      <c r="V16" s="77"/>
    </row>
    <row r="17" spans="1:22">
      <c r="U17" s="69"/>
      <c r="V17" s="69"/>
    </row>
    <row r="23" spans="1:22">
      <c r="A23" s="91" t="s">
        <v>159</v>
      </c>
      <c r="B23" s="90"/>
      <c r="C23" s="90"/>
      <c r="D23" s="90"/>
      <c r="E23" s="90"/>
    </row>
    <row r="24" spans="1:22">
      <c r="A24" s="90"/>
      <c r="B24" s="90"/>
      <c r="C24" s="90"/>
      <c r="D24" s="90"/>
      <c r="E24" s="90"/>
    </row>
    <row r="27" spans="1:22">
      <c r="D27" s="77" t="s">
        <v>152</v>
      </c>
      <c r="E27" s="77"/>
      <c r="I27" t="s">
        <v>148</v>
      </c>
      <c r="J27" t="s">
        <v>155</v>
      </c>
      <c r="L27" t="s">
        <v>145</v>
      </c>
      <c r="M27" t="s">
        <v>144</v>
      </c>
      <c r="N27" t="s">
        <v>147</v>
      </c>
      <c r="O27" t="s">
        <v>146</v>
      </c>
    </row>
    <row r="28" spans="1:22">
      <c r="B28" s="84"/>
      <c r="D28" t="s">
        <v>150</v>
      </c>
      <c r="E28" t="s">
        <v>151</v>
      </c>
      <c r="I28">
        <v>1</v>
      </c>
      <c r="J28" t="s">
        <v>14</v>
      </c>
      <c r="L28">
        <f>VLOOKUP(I28,Tabella3[],3,TRUE)</f>
        <v>1000</v>
      </c>
      <c r="M28">
        <f>VLOOKUP(I28,Tabella3[],5,TRUE)</f>
        <v>90</v>
      </c>
      <c r="N28">
        <f>VLOOKUP(I28,Tabella3[],6,TRUE)</f>
        <v>2.4</v>
      </c>
      <c r="O28">
        <f>VLOOKUP(I28,Tabella3[],4,TRUE)</f>
        <v>13.87</v>
      </c>
    </row>
    <row r="29" spans="1:22">
      <c r="I29">
        <v>2</v>
      </c>
      <c r="J29" t="s">
        <v>9</v>
      </c>
      <c r="L29">
        <f>VLOOKUP(I29,Tabella3[],3,TRUE)</f>
        <v>1000</v>
      </c>
      <c r="M29">
        <f>VLOOKUP(I29,Tabella3[],5,TRUE)</f>
        <v>100</v>
      </c>
      <c r="N29">
        <f>VLOOKUP(I29,Tabella3[],6,TRUE)</f>
        <v>4.2</v>
      </c>
      <c r="O29">
        <f>VLOOKUP(I29,Tabella3[],4,TRUE)</f>
        <v>12.21</v>
      </c>
    </row>
    <row r="30" spans="1:22">
      <c r="A30" t="s">
        <v>144</v>
      </c>
      <c r="B30" s="83">
        <v>420</v>
      </c>
      <c r="C30" s="83"/>
      <c r="D30" s="83">
        <f t="shared" ref="D29:D31" si="0">B30-20</f>
        <v>400</v>
      </c>
      <c r="E30" s="83">
        <f>B30+30</f>
        <v>450</v>
      </c>
      <c r="I30">
        <v>3</v>
      </c>
      <c r="J30" t="s">
        <v>137</v>
      </c>
      <c r="L30">
        <f>VLOOKUP(I30,Tabella3[],3,TRUE)</f>
        <v>1000</v>
      </c>
      <c r="M30">
        <f>VLOOKUP(I30,Tabella3[],5,TRUE)</f>
        <v>263</v>
      </c>
      <c r="N30">
        <f>VLOOKUP(I30,Tabella3[],6,TRUE)</f>
        <v>17.100000000000001</v>
      </c>
      <c r="O30">
        <f>VLOOKUP(I30,Tabella3[],4,TRUE)</f>
        <v>13.05</v>
      </c>
    </row>
    <row r="31" spans="1:22">
      <c r="A31" t="s">
        <v>149</v>
      </c>
      <c r="B31" s="83">
        <v>25</v>
      </c>
      <c r="C31" s="83"/>
      <c r="D31" s="83">
        <f>B31-3</f>
        <v>22</v>
      </c>
      <c r="E31" s="83">
        <f>B31+10</f>
        <v>35</v>
      </c>
      <c r="I31">
        <v>4</v>
      </c>
      <c r="J31" t="s">
        <v>21</v>
      </c>
      <c r="L31">
        <f>VLOOKUP(I31,Tabella3[],3,TRUE)</f>
        <v>1000</v>
      </c>
      <c r="M31">
        <f>VLOOKUP(I31,Tabella3[],5,TRUE)</f>
        <v>160</v>
      </c>
      <c r="N31">
        <f>VLOOKUP(I31,Tabella3[],6,TRUE)</f>
        <v>6.3</v>
      </c>
      <c r="O31">
        <f>VLOOKUP(I31,Tabella3[],4,TRUE)</f>
        <v>8.3699999999999992</v>
      </c>
    </row>
    <row r="32" spans="1:22">
      <c r="A32" t="s">
        <v>157</v>
      </c>
      <c r="B32" s="83">
        <v>3500</v>
      </c>
      <c r="C32" s="83"/>
      <c r="D32" s="83">
        <f>B32-500</f>
        <v>3000</v>
      </c>
      <c r="E32" s="83">
        <f>B32+100</f>
        <v>3600</v>
      </c>
      <c r="I32">
        <v>5</v>
      </c>
      <c r="J32" t="s">
        <v>16</v>
      </c>
      <c r="L32">
        <f>VLOOKUP(I32,Tabella3[],3,TRUE)</f>
        <v>1000</v>
      </c>
      <c r="M32">
        <f>VLOOKUP(I32,Tabella3[],5,TRUE)</f>
        <v>112</v>
      </c>
      <c r="N32">
        <f>VLOOKUP(I32,Tabella3[],6,TRUE)</f>
        <v>3.8</v>
      </c>
      <c r="O32">
        <f>VLOOKUP(I32,Tabella3[],4,TRUE)</f>
        <v>13.43</v>
      </c>
    </row>
    <row r="33" spans="1:16">
      <c r="I33">
        <v>6</v>
      </c>
      <c r="J33" t="s">
        <v>138</v>
      </c>
      <c r="L33">
        <f>VLOOKUP(I33,Tabella3[],3,TRUE)</f>
        <v>1000</v>
      </c>
      <c r="M33">
        <f>VLOOKUP(I33,Tabella3[],5,TRUE)</f>
        <v>147</v>
      </c>
      <c r="N33">
        <f>VLOOKUP(I33,Tabella3[],6,TRUE)</f>
        <v>5.8</v>
      </c>
      <c r="O33">
        <f>VLOOKUP(I33,Tabella3[],4,TRUE)</f>
        <v>9.23</v>
      </c>
    </row>
    <row r="35" spans="1:16">
      <c r="J35" t="s">
        <v>155</v>
      </c>
      <c r="L35" t="s">
        <v>145</v>
      </c>
      <c r="M35" t="s">
        <v>144</v>
      </c>
      <c r="N35" t="s">
        <v>147</v>
      </c>
      <c r="O35" t="s">
        <v>146</v>
      </c>
      <c r="P35" t="s">
        <v>153</v>
      </c>
    </row>
    <row r="36" spans="1:16">
      <c r="J36" s="85" t="str">
        <f>VLOOKUP(F10,Tabella3[],2,FALSE)</f>
        <v>Mais</v>
      </c>
      <c r="K36" s="85"/>
      <c r="L36" s="85">
        <f>O36*L28/O28</f>
        <v>648.88248017303533</v>
      </c>
      <c r="M36" s="85">
        <f>L36*M28/L28</f>
        <v>58.399423215573179</v>
      </c>
      <c r="N36" s="85">
        <f>L36*N28/L28</f>
        <v>1.5573179524152847</v>
      </c>
      <c r="O36" s="85">
        <f>B39*P36</f>
        <v>9</v>
      </c>
      <c r="P36" s="86">
        <v>0.2</v>
      </c>
    </row>
    <row r="37" spans="1:16">
      <c r="J37" s="85" t="str">
        <f>VLOOKUP(F11,Tabella3[],2,FALSE)</f>
        <v>Orzo</v>
      </c>
      <c r="K37" s="85"/>
      <c r="L37" s="85">
        <f>O37*L29/O29</f>
        <v>1400.4914004914003</v>
      </c>
      <c r="M37" s="85">
        <f t="shared" ref="M37:M41" si="1">L37*M29/L29</f>
        <v>140.04914004914002</v>
      </c>
      <c r="N37" s="85">
        <f t="shared" ref="N37:N41" si="2">L37*N29/L29</f>
        <v>5.8820638820638811</v>
      </c>
      <c r="O37" s="85">
        <f>B39*P37</f>
        <v>17.100000000000001</v>
      </c>
      <c r="P37" s="88">
        <v>0.38</v>
      </c>
    </row>
    <row r="38" spans="1:16">
      <c r="J38" s="85" t="str">
        <f>VLOOKUP(F12,Tabella3[],2,FALSE)</f>
        <v>Fave</v>
      </c>
      <c r="K38" s="85"/>
      <c r="L38" s="85">
        <f>O38*L30/O30</f>
        <v>586.20689655172407</v>
      </c>
      <c r="M38" s="85">
        <f t="shared" si="1"/>
        <v>154.17241379310343</v>
      </c>
      <c r="N38" s="85">
        <f t="shared" si="2"/>
        <v>10.024137931034481</v>
      </c>
      <c r="O38" s="85">
        <f>B39*P38</f>
        <v>7.65</v>
      </c>
      <c r="P38" s="88">
        <v>0.17</v>
      </c>
    </row>
    <row r="39" spans="1:16">
      <c r="A39" s="82" t="s">
        <v>146</v>
      </c>
      <c r="B39" s="87">
        <v>45</v>
      </c>
      <c r="J39" s="85" t="str">
        <f>VLOOKUP(F13,Tabella3[],2,FALSE)</f>
        <v>Girasole</v>
      </c>
      <c r="K39" s="85"/>
      <c r="L39" s="85">
        <f>O39*L31/O31</f>
        <v>537.63440860215064</v>
      </c>
      <c r="M39" s="85">
        <f t="shared" si="1"/>
        <v>86.021505376344109</v>
      </c>
      <c r="N39" s="85">
        <f t="shared" si="2"/>
        <v>3.3870967741935489</v>
      </c>
      <c r="O39" s="85">
        <f>B39*P39</f>
        <v>4.5</v>
      </c>
      <c r="P39" s="88">
        <v>0.1</v>
      </c>
    </row>
    <row r="40" spans="1:16">
      <c r="J40" s="85" t="str">
        <f>VLOOKUP(F14,Tabella3[],2,FALSE)</f>
        <v>Grano</v>
      </c>
      <c r="K40" s="85"/>
      <c r="L40" s="85">
        <f>O40*L32/O32</f>
        <v>167.53536857781089</v>
      </c>
      <c r="M40" s="85">
        <f t="shared" si="1"/>
        <v>18.76396128071482</v>
      </c>
      <c r="N40" s="85">
        <f t="shared" si="2"/>
        <v>0.63663440059568133</v>
      </c>
      <c r="O40" s="85">
        <f>B39*P40</f>
        <v>2.25</v>
      </c>
      <c r="P40" s="88">
        <v>0.05</v>
      </c>
    </row>
    <row r="41" spans="1:16">
      <c r="J41" s="85" t="str">
        <f>VLOOKUP(F15,Tabella3[],2,FALSE)</f>
        <v>Crusca-t</v>
      </c>
      <c r="K41" s="85"/>
      <c r="L41" s="85">
        <f>O41*L33/O33</f>
        <v>487.54062838569877</v>
      </c>
      <c r="M41" s="85">
        <f t="shared" si="1"/>
        <v>71.668472372697721</v>
      </c>
      <c r="N41" s="85">
        <f t="shared" si="2"/>
        <v>2.8277356446370527</v>
      </c>
      <c r="O41" s="85">
        <f>B39*P41</f>
        <v>4.5</v>
      </c>
      <c r="P41" s="88">
        <v>0.1</v>
      </c>
    </row>
    <row r="43" spans="1:16">
      <c r="I43" s="93" t="s">
        <v>156</v>
      </c>
      <c r="J43" s="93"/>
      <c r="K43" s="93"/>
      <c r="L43">
        <f>SUM(L36:L41)</f>
        <v>3828.2911827818202</v>
      </c>
      <c r="M43">
        <f>SUM(M36:M41)</f>
        <v>529.07491608757323</v>
      </c>
      <c r="N43">
        <f>SUM(N36:N41)</f>
        <v>24.314986584939927</v>
      </c>
      <c r="O43">
        <f>SUM(O36:O41)</f>
        <v>45</v>
      </c>
      <c r="P43" s="10">
        <f>SUM(P36:P41)</f>
        <v>1.0000000000000002</v>
      </c>
    </row>
  </sheetData>
  <mergeCells count="5">
    <mergeCell ref="U16:V16"/>
    <mergeCell ref="D27:E27"/>
    <mergeCell ref="A23:E24"/>
    <mergeCell ref="A2:O3"/>
    <mergeCell ref="I43:K43"/>
  </mergeCells>
  <conditionalFormatting sqref="L43">
    <cfRule type="cellIs" dxfId="2" priority="1" operator="lessThan">
      <formula>3000</formula>
    </cfRule>
    <cfRule type="cellIs" dxfId="1" priority="2" operator="greaterThan">
      <formula>3601</formula>
    </cfRule>
    <cfRule type="cellIs" dxfId="0" priority="3" operator="between">
      <formula>3000</formula>
      <formula>3600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FABBISOGNI</vt:lpstr>
      <vt:lpstr>DIETE</vt:lpstr>
      <vt:lpstr>STIMA ANNUA</vt:lpstr>
      <vt:lpstr>Acquisti &amp; C.deposito</vt:lpstr>
      <vt:lpstr>STORICO MOLITURE</vt:lpstr>
      <vt:lpstr>VALORI NUTRITIVI ALIMENTI</vt:lpstr>
      <vt:lpstr>Razione alimentare suina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cp:lastPrinted>2016-01-02T13:13:21Z</cp:lastPrinted>
  <dcterms:created xsi:type="dcterms:W3CDTF">2015-06-24T20:02:47Z</dcterms:created>
  <dcterms:modified xsi:type="dcterms:W3CDTF">2016-01-05T23:52:20Z</dcterms:modified>
</cp:coreProperties>
</file>